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'Jerry'!$A$1:$H$381</definedName>
  </definedNames>
  <calcPr fullCalcOnLoad="1"/>
</workbook>
</file>

<file path=xl/sharedStrings.xml><?xml version="1.0" encoding="utf-8"?>
<sst xmlns="http://schemas.openxmlformats.org/spreadsheetml/2006/main" count="94" uniqueCount="94">
  <si>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</si>
  <si>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</si>
  <si>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</si>
  <si>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</si>
  <si>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</si>
  <si>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</si>
  <si>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</si>
  <si>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</si>
  <si>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</si>
  <si>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</si>
  <si>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</si>
  <si>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</si>
  <si>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</si>
  <si>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</si>
  <si>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</si>
  <si>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</si>
  <si>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</si>
  <si>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</si>
  <si>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R157 SPOT Bond (R157)</t>
  </si>
  <si>
    <t>R186 SPOT Bond (R186)</t>
  </si>
  <si>
    <t>R197 SPOT Bond (R197)</t>
  </si>
  <si>
    <t>R201 SPOT Bond (R201)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</si>
  <si>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</si>
  <si>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</si>
  <si>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</si>
  <si>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</si>
  <si>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</si>
  <si>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</si>
  <si>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</si>
  <si>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</si>
  <si>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</si>
  <si>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</si>
  <si>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</si>
  <si>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</si>
  <si>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</si>
  <si>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R2037 Bond Future (2037)</t>
  </si>
  <si>
    <t>2038 Bond Future (2038)</t>
  </si>
  <si>
    <t>R 2044 Bond Future (2044)</t>
  </si>
  <si>
    <t>2046 Bond Future (2046)</t>
  </si>
  <si>
    <t>2050 Bond Future (2050)</t>
  </si>
  <si>
    <t>EL28 Bond Future (EL28)</t>
  </si>
  <si>
    <t>ES33 FUTURE  (ES33)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</si>
  <si>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</si>
  <si>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</si>
  <si>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</si>
  <si>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</si>
  <si>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</si>
  <si>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</si>
  <si>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</si>
  <si>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</si>
  <si>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</si>
  <si>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</si>
  <si>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</si>
  <si>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</si>
  <si>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</si>
  <si>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</si>
  <si>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</si>
  <si>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</si>
  <si>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Currency Cando CAFC (CAFC)</t>
  </si>
  <si>
    <t>Currency Cando CAFD (CAFD)</t>
  </si>
  <si>
    <t>Currency Cando CAFÉ (CAFE)</t>
  </si>
  <si>
    <t>Currency Cando CAFH (CAFH)</t>
  </si>
  <si>
    <t>Currency Cando CAFJ (CAFJ)</t>
  </si>
  <si>
    <t>Currency Cando CAFK (CAFK)</t>
  </si>
  <si>
    <t>Currency Cando CAFY (CAFY)</t>
  </si>
  <si>
    <t>Currency Cando CAGA (CAGA)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</si>
  <si>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</si>
  <si>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</si>
  <si>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</si>
  <si>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</si>
  <si>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</si>
  <si>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</si>
  <si>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Rand / Can Dollar  (ZACA)</t>
  </si>
  <si>
    <t>Rand / Chinese Renminbi (ZACR)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</si>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</sst>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3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0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41955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ROUND(1.715,5)</f>
        <v>1.715</v>
      </c>
      <c r="D6" s="25">
        <f>F6</f>
        <v>1.715</v>
      </c>
      <c r="E6" s="25">
        <f>F6</f>
        <v>1.715</v>
      </c>
      <c r="F6" s="25">
        <f>ROUND(1.715,5)</f>
        <v>1.715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ROUND(1.76,5)</f>
        <v>1.76</v>
      </c>
      <c r="D8" s="25">
        <f>F8</f>
        <v>1.76</v>
      </c>
      <c r="E8" s="25">
        <f>F8</f>
        <v>1.76</v>
      </c>
      <c r="F8" s="25">
        <f>ROUND(1.76,5)</f>
        <v>1.76</v>
      </c>
      <c r="G8" s="24"/>
      <c r="H8" s="36"/>
    </row>
    <row r="9" spans="1:8" ht="12.75" customHeight="1">
      <c r="A9" s="22" t="s">
        <v>14</v>
      </c>
      <c r="B9" s="22"/>
      <c r="C9" s="23"/>
      <c r="D9" s="23"/>
      <c r="E9" s="23"/>
      <c r="F9" s="23"/>
      <c r="G9" s="24"/>
      <c r="H9" s="36"/>
    </row>
    <row r="10" spans="1:8" ht="12.75" customHeight="1">
      <c r="A10" s="22">
        <v>55153</v>
      </c>
      <c r="B10" s="22"/>
      <c r="C10" s="25">
        <f>ROUND(1.78,5)</f>
        <v>1.78</v>
      </c>
      <c r="D10" s="25">
        <f>F10</f>
        <v>1.78</v>
      </c>
      <c r="E10" s="25">
        <f>F10</f>
        <v>1.78</v>
      </c>
      <c r="F10" s="25">
        <f>ROUND(1.78,5)</f>
        <v>1.78</v>
      </c>
      <c r="G10" s="24"/>
      <c r="H10" s="36"/>
    </row>
    <row r="11" spans="1:8" ht="12.75" customHeight="1">
      <c r="A11" s="22" t="s">
        <v>15</v>
      </c>
      <c r="B11" s="22"/>
      <c r="C11" s="23"/>
      <c r="D11" s="23"/>
      <c r="E11" s="23"/>
      <c r="F11" s="23"/>
      <c r="G11" s="24"/>
      <c r="H11" s="36"/>
    </row>
    <row r="12" spans="1:8" ht="12.75" customHeight="1">
      <c r="A12" s="22">
        <v>46875</v>
      </c>
      <c r="B12" s="22"/>
      <c r="C12" s="25">
        <f>ROUND(2.04,5)</f>
        <v>2.04</v>
      </c>
      <c r="D12" s="25">
        <f>F12</f>
        <v>2.04</v>
      </c>
      <c r="E12" s="25">
        <f>F12</f>
        <v>2.04</v>
      </c>
      <c r="F12" s="25">
        <f>ROUND(2.04,5)</f>
        <v>2.04</v>
      </c>
      <c r="G12" s="24"/>
      <c r="H12" s="36"/>
    </row>
    <row r="13" spans="1:8" ht="12.75" customHeight="1">
      <c r="A13" s="22" t="s">
        <v>16</v>
      </c>
      <c r="B13" s="22"/>
      <c r="C13" s="23"/>
      <c r="D13" s="23"/>
      <c r="E13" s="23"/>
      <c r="F13" s="23"/>
      <c r="G13" s="24"/>
      <c r="H13" s="36"/>
    </row>
    <row r="14" spans="1:8" ht="12.75" customHeight="1">
      <c r="A14" s="22">
        <v>48837</v>
      </c>
      <c r="B14" s="22"/>
      <c r="C14" s="25">
        <f>ROUND(9.33,5)</f>
        <v>9.33</v>
      </c>
      <c r="D14" s="25">
        <f>F14</f>
        <v>9.33</v>
      </c>
      <c r="E14" s="25">
        <f>F14</f>
        <v>9.33</v>
      </c>
      <c r="F14" s="25">
        <f>ROUND(9.33,5)</f>
        <v>9.33</v>
      </c>
      <c r="G14" s="24"/>
      <c r="H14" s="36"/>
    </row>
    <row r="15" spans="1:8" ht="12.75" customHeight="1">
      <c r="A15" s="22" t="s">
        <v>17</v>
      </c>
      <c r="B15" s="22"/>
      <c r="C15" s="23"/>
      <c r="D15" s="23"/>
      <c r="E15" s="23"/>
      <c r="F15" s="23"/>
      <c r="G15" s="24"/>
      <c r="H15" s="36"/>
    </row>
    <row r="16" spans="1:8" ht="12.75" customHeight="1">
      <c r="A16" s="22">
        <v>44985</v>
      </c>
      <c r="B16" s="22"/>
      <c r="C16" s="25">
        <f>ROUND(7.57,5)</f>
        <v>7.57</v>
      </c>
      <c r="D16" s="25">
        <f>F16</f>
        <v>7.57</v>
      </c>
      <c r="E16" s="25">
        <f>F16</f>
        <v>7.57</v>
      </c>
      <c r="F16" s="25">
        <f>ROUND(7.57,5)</f>
        <v>7.57</v>
      </c>
      <c r="G16" s="24"/>
      <c r="H16" s="36"/>
    </row>
    <row r="17" spans="1:8" ht="12.75" customHeight="1">
      <c r="A17" s="22" t="s">
        <v>18</v>
      </c>
      <c r="B17" s="22"/>
      <c r="C17" s="23"/>
      <c r="D17" s="23"/>
      <c r="E17" s="23"/>
      <c r="F17" s="23"/>
      <c r="G17" s="24"/>
      <c r="H17" s="36"/>
    </row>
    <row r="18" spans="1:8" ht="12.75" customHeight="1">
      <c r="A18" s="22">
        <v>42262</v>
      </c>
      <c r="B18" s="22"/>
      <c r="C18" s="26">
        <f>ROUND(0,3)</f>
        <v>0</v>
      </c>
      <c r="D18" s="26">
        <f>F18</f>
        <v>0</v>
      </c>
      <c r="E18" s="26">
        <f>F18</f>
        <v>0</v>
      </c>
      <c r="F18" s="26">
        <f>ROUND(0,3)</f>
        <v>0</v>
      </c>
      <c r="G18" s="24"/>
      <c r="H18" s="36"/>
    </row>
    <row r="19" spans="1:8" ht="12.75" customHeight="1">
      <c r="A19" s="22" t="s">
        <v>19</v>
      </c>
      <c r="B19" s="22"/>
      <c r="C19" s="23"/>
      <c r="D19" s="23"/>
      <c r="E19" s="23"/>
      <c r="F19" s="23"/>
      <c r="G19" s="24"/>
      <c r="H19" s="36"/>
    </row>
    <row r="20" spans="1:8" ht="12.75" customHeight="1">
      <c r="A20" s="22">
        <v>46377</v>
      </c>
      <c r="B20" s="22"/>
      <c r="C20" s="26">
        <f>ROUND(7.84,3)</f>
        <v>7.84</v>
      </c>
      <c r="D20" s="26">
        <f>F20</f>
        <v>7.84</v>
      </c>
      <c r="E20" s="26">
        <f>F20</f>
        <v>7.84</v>
      </c>
      <c r="F20" s="26">
        <f>ROUND(7.84,3)</f>
        <v>7.84</v>
      </c>
      <c r="G20" s="24"/>
      <c r="H20" s="36"/>
    </row>
    <row r="21" spans="1:8" ht="12.75" customHeight="1">
      <c r="A21" s="22" t="s">
        <v>20</v>
      </c>
      <c r="B21" s="22"/>
      <c r="C21" s="23"/>
      <c r="D21" s="23"/>
      <c r="E21" s="23"/>
      <c r="F21" s="23"/>
      <c r="G21" s="24"/>
      <c r="H21" s="36"/>
    </row>
    <row r="22" spans="1:8" ht="12.75" customHeight="1">
      <c r="A22" s="22">
        <v>45267</v>
      </c>
      <c r="B22" s="22"/>
      <c r="C22" s="26">
        <f>ROUND(1.66,3)</f>
        <v>1.66</v>
      </c>
      <c r="D22" s="26">
        <f>F22</f>
        <v>1.66</v>
      </c>
      <c r="E22" s="26">
        <f>F22</f>
        <v>1.66</v>
      </c>
      <c r="F22" s="26">
        <f>ROUND(1.66,3)</f>
        <v>1.66</v>
      </c>
      <c r="G22" s="24"/>
      <c r="H22" s="36"/>
    </row>
    <row r="23" spans="1:8" ht="12.75" customHeight="1">
      <c r="A23" s="22" t="s">
        <v>21</v>
      </c>
      <c r="B23" s="22"/>
      <c r="C23" s="23"/>
      <c r="D23" s="23"/>
      <c r="E23" s="23"/>
      <c r="F23" s="23"/>
      <c r="G23" s="24"/>
      <c r="H23" s="36"/>
    </row>
    <row r="24" spans="1:8" ht="12.75" customHeight="1">
      <c r="A24" s="22">
        <v>41994</v>
      </c>
      <c r="B24" s="22"/>
      <c r="C24" s="26">
        <f>ROUND(5.59,3)</f>
        <v>5.59</v>
      </c>
      <c r="D24" s="26">
        <f>F24</f>
        <v>5.59</v>
      </c>
      <c r="E24" s="26">
        <f>F24</f>
        <v>5.59</v>
      </c>
      <c r="F24" s="26">
        <f>ROUND(5.59,3)</f>
        <v>5.59</v>
      </c>
      <c r="G24" s="24"/>
      <c r="H24" s="36"/>
    </row>
    <row r="25" spans="1:8" ht="12.75" customHeight="1">
      <c r="A25" s="22" t="s">
        <v>22</v>
      </c>
      <c r="B25" s="22"/>
      <c r="C25" s="23"/>
      <c r="D25" s="23"/>
      <c r="E25" s="23"/>
      <c r="F25" s="23"/>
      <c r="G25" s="24"/>
      <c r="H25" s="36"/>
    </row>
    <row r="26" spans="1:8" ht="12.75" customHeight="1">
      <c r="A26" s="22">
        <v>48920</v>
      </c>
      <c r="B26" s="22"/>
      <c r="C26" s="26">
        <f>ROUND(1.75,3)</f>
        <v>1.75</v>
      </c>
      <c r="D26" s="26">
        <f>F26</f>
        <v>1.75</v>
      </c>
      <c r="E26" s="26">
        <f>F26</f>
        <v>1.75</v>
      </c>
      <c r="F26" s="26">
        <f>ROUND(1.75,3)</f>
        <v>1.75</v>
      </c>
      <c r="G26" s="24"/>
      <c r="H26" s="36"/>
    </row>
    <row r="27" spans="1:8" ht="12.75" customHeight="1">
      <c r="A27" s="22" t="s">
        <v>23</v>
      </c>
      <c r="B27" s="22"/>
      <c r="C27" s="23"/>
      <c r="D27" s="23"/>
      <c r="E27" s="23"/>
      <c r="F27" s="23"/>
      <c r="G27" s="24"/>
      <c r="H27" s="36"/>
    </row>
    <row r="28" spans="1:8" ht="12.75" customHeight="1">
      <c r="A28" s="22">
        <v>42993</v>
      </c>
      <c r="B28" s="22"/>
      <c r="C28" s="26">
        <f>ROUND(6.6,3)</f>
        <v>6.6</v>
      </c>
      <c r="D28" s="26">
        <f>F28</f>
        <v>6.6</v>
      </c>
      <c r="E28" s="26">
        <f>F28</f>
        <v>6.6</v>
      </c>
      <c r="F28" s="26">
        <f>ROUND(6.6,3)</f>
        <v>6.6</v>
      </c>
      <c r="G28" s="24"/>
      <c r="H28" s="36"/>
    </row>
    <row r="29" spans="1:8" ht="12.75" customHeight="1">
      <c r="A29" s="22" t="s">
        <v>24</v>
      </c>
      <c r="B29" s="22"/>
      <c r="C29" s="23"/>
      <c r="D29" s="23"/>
      <c r="E29" s="23"/>
      <c r="F29" s="23"/>
      <c r="G29" s="24"/>
      <c r="H29" s="36"/>
    </row>
    <row r="30" spans="1:8" ht="12.75" customHeight="1">
      <c r="A30" s="22">
        <v>43455</v>
      </c>
      <c r="B30" s="22"/>
      <c r="C30" s="26">
        <f>ROUND(6.9,3)</f>
        <v>6.9</v>
      </c>
      <c r="D30" s="26">
        <f>F30</f>
        <v>6.9</v>
      </c>
      <c r="E30" s="26">
        <f>F30</f>
        <v>6.9</v>
      </c>
      <c r="F30" s="26">
        <f>ROUND(6.9,3)</f>
        <v>6.9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43845</v>
      </c>
      <c r="B32" s="22"/>
      <c r="C32" s="26">
        <f>ROUND(7.15,3)</f>
        <v>7.15</v>
      </c>
      <c r="D32" s="26">
        <f>F32</f>
        <v>7.15</v>
      </c>
      <c r="E32" s="26">
        <f>F32</f>
        <v>7.15</v>
      </c>
      <c r="F32" s="26">
        <f>ROUND(7.15,3)</f>
        <v>7.15</v>
      </c>
      <c r="G32" s="24"/>
      <c r="H32" s="36"/>
    </row>
    <row r="33" spans="1:8" ht="12.75" customHeight="1">
      <c r="A33" s="22" t="s">
        <v>26</v>
      </c>
      <c r="B33" s="22"/>
      <c r="C33" s="23"/>
      <c r="D33" s="23"/>
      <c r="E33" s="23"/>
      <c r="F33" s="23"/>
      <c r="G33" s="24"/>
      <c r="H33" s="36"/>
    </row>
    <row r="34" spans="1:8" ht="12.75" customHeight="1">
      <c r="A34" s="22">
        <v>44286</v>
      </c>
      <c r="B34" s="22"/>
      <c r="C34" s="26">
        <f>ROUND(7.325,3)</f>
        <v>7.325</v>
      </c>
      <c r="D34" s="26">
        <f>F34</f>
        <v>7.325</v>
      </c>
      <c r="E34" s="26">
        <f>F34</f>
        <v>7.325</v>
      </c>
      <c r="F34" s="26">
        <f>ROUND(7.325,3)</f>
        <v>7.325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49765</v>
      </c>
      <c r="B36" s="22"/>
      <c r="C36" s="26">
        <f>ROUND(8.455,3)</f>
        <v>8.455</v>
      </c>
      <c r="D36" s="26">
        <f>F36</f>
        <v>8.455</v>
      </c>
      <c r="E36" s="26">
        <f>F36</f>
        <v>8.455</v>
      </c>
      <c r="F36" s="26">
        <f>ROUND(8.455,3)</f>
        <v>8.455</v>
      </c>
      <c r="G36" s="24"/>
      <c r="H36" s="36"/>
    </row>
    <row r="37" spans="1:8" ht="12.75" customHeight="1">
      <c r="A37" s="22" t="s">
        <v>28</v>
      </c>
      <c r="B37" s="22"/>
      <c r="C37" s="23"/>
      <c r="D37" s="23"/>
      <c r="E37" s="23"/>
      <c r="F37" s="23"/>
      <c r="G37" s="24"/>
      <c r="H37" s="36"/>
    </row>
    <row r="38" spans="1:8" ht="12.75" customHeight="1">
      <c r="A38" s="22">
        <v>46843</v>
      </c>
      <c r="B38" s="22"/>
      <c r="C38" s="26">
        <f>ROUND(1.68,3)</f>
        <v>1.68</v>
      </c>
      <c r="D38" s="26">
        <f>F38</f>
        <v>1.68</v>
      </c>
      <c r="E38" s="26">
        <f>F38</f>
        <v>1.68</v>
      </c>
      <c r="F38" s="26">
        <f>ROUND(1.68,3)</f>
        <v>1.68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42766</v>
      </c>
      <c r="B40" s="22"/>
      <c r="C40" s="25">
        <f>ROUND(0.83,5)</f>
        <v>0.83</v>
      </c>
      <c r="D40" s="25">
        <f>F40</f>
        <v>0.83</v>
      </c>
      <c r="E40" s="25">
        <f>F40</f>
        <v>0.83</v>
      </c>
      <c r="F40" s="25">
        <f>ROUND(0.83,5)</f>
        <v>0.83</v>
      </c>
      <c r="G40" s="24"/>
      <c r="H40" s="36"/>
    </row>
    <row r="41" spans="1:8" ht="12.75" customHeight="1">
      <c r="A41" s="22" t="s">
        <v>30</v>
      </c>
      <c r="B41" s="22"/>
      <c r="C41" s="23"/>
      <c r="D41" s="23"/>
      <c r="E41" s="23"/>
      <c r="F41" s="23"/>
      <c r="G41" s="24"/>
      <c r="H41" s="36"/>
    </row>
    <row r="42" spans="1:8" ht="12.75" customHeight="1">
      <c r="A42" s="22">
        <v>44592</v>
      </c>
      <c r="B42" s="22"/>
      <c r="C42" s="26">
        <f>ROUND(1.61,3)</f>
        <v>1.61</v>
      </c>
      <c r="D42" s="26">
        <f>F42</f>
        <v>1.61</v>
      </c>
      <c r="E42" s="26">
        <f>F42</f>
        <v>1.61</v>
      </c>
      <c r="F42" s="26">
        <f>ROUND(1.61,3)</f>
        <v>1.61</v>
      </c>
      <c r="G42" s="24"/>
      <c r="H42" s="36"/>
    </row>
    <row r="43" spans="1:8" ht="12.75" customHeight="1">
      <c r="A43" s="22" t="s">
        <v>31</v>
      </c>
      <c r="B43" s="22"/>
      <c r="C43" s="23"/>
      <c r="D43" s="23"/>
      <c r="E43" s="23"/>
      <c r="F43" s="23"/>
      <c r="G43" s="24"/>
      <c r="H43" s="36"/>
    </row>
    <row r="44" spans="1:8" ht="12.75" customHeight="1">
      <c r="A44" s="22">
        <v>47907</v>
      </c>
      <c r="B44" s="22"/>
      <c r="C44" s="26">
        <f>ROUND(8.305,3)</f>
        <v>8.305</v>
      </c>
      <c r="D44" s="26">
        <f>F44</f>
        <v>8.305</v>
      </c>
      <c r="E44" s="26">
        <f>F44</f>
        <v>8.305</v>
      </c>
      <c r="F44" s="26">
        <f>ROUND(8.305,3)</f>
        <v>8.305</v>
      </c>
      <c r="G44" s="24"/>
      <c r="H44" s="36"/>
    </row>
    <row r="45" spans="1:8" ht="12.75" customHeight="1">
      <c r="A45" s="22" t="s">
        <v>32</v>
      </c>
      <c r="B45" s="22"/>
      <c r="C45" s="23"/>
      <c r="D45" s="23"/>
      <c r="E45" s="23"/>
      <c r="F45" s="23"/>
      <c r="G45" s="24"/>
      <c r="H45" s="36"/>
    </row>
    <row r="46" spans="1:8" ht="12.75" customHeight="1">
      <c r="A46" s="22">
        <v>42040</v>
      </c>
      <c r="B46" s="22"/>
      <c r="C46" s="25">
        <f>ROUND(1.715,5)</f>
        <v>1.715</v>
      </c>
      <c r="D46" s="25">
        <f>F46</f>
        <v>118.74632</v>
      </c>
      <c r="E46" s="25">
        <f>F46</f>
        <v>118.74632</v>
      </c>
      <c r="F46" s="25">
        <f>ROUND(118.74632,5)</f>
        <v>118.74632</v>
      </c>
      <c r="G46" s="24"/>
      <c r="H46" s="36"/>
    </row>
    <row r="47" spans="1:8" ht="12.75" customHeight="1">
      <c r="A47" s="22">
        <v>42131</v>
      </c>
      <c r="B47" s="22"/>
      <c r="C47" s="25">
        <f>ROUND(1.715,5)</f>
        <v>1.715</v>
      </c>
      <c r="D47" s="25">
        <f>F47</f>
        <v>120.70565</v>
      </c>
      <c r="E47" s="25">
        <f>F47</f>
        <v>120.70565</v>
      </c>
      <c r="F47" s="25">
        <f>ROUND(120.70565,5)</f>
        <v>120.70565</v>
      </c>
      <c r="G47" s="24"/>
      <c r="H47" s="36"/>
    </row>
    <row r="48" spans="1:8" ht="12.75" customHeight="1">
      <c r="A48" s="22">
        <v>42222</v>
      </c>
      <c r="B48" s="22"/>
      <c r="C48" s="25">
        <f>ROUND(1.715,5)</f>
        <v>1.715</v>
      </c>
      <c r="D48" s="25">
        <f>F48</f>
        <v>122.76782</v>
      </c>
      <c r="E48" s="25">
        <f>F48</f>
        <v>122.76782</v>
      </c>
      <c r="F48" s="25">
        <f>ROUND(122.76782,5)</f>
        <v>122.76782</v>
      </c>
      <c r="G48" s="24"/>
      <c r="H48" s="36"/>
    </row>
    <row r="49" spans="1:8" ht="12.75" customHeight="1">
      <c r="A49" s="22">
        <v>42313</v>
      </c>
      <c r="B49" s="22"/>
      <c r="C49" s="25">
        <f>ROUND(1.715,5)</f>
        <v>1.715</v>
      </c>
      <c r="D49" s="25">
        <f>F49</f>
        <v>125.01064</v>
      </c>
      <c r="E49" s="25">
        <f>F49</f>
        <v>125.01064</v>
      </c>
      <c r="F49" s="25">
        <f>ROUND(125.01064,5)</f>
        <v>125.01064</v>
      </c>
      <c r="G49" s="24"/>
      <c r="H49" s="36"/>
    </row>
    <row r="50" spans="1:8" ht="12.75" customHeight="1">
      <c r="A50" s="22">
        <v>42404</v>
      </c>
      <c r="B50" s="22"/>
      <c r="C50" s="25">
        <f>ROUND(1.715,5)</f>
        <v>1.715</v>
      </c>
      <c r="D50" s="25">
        <f>F50</f>
        <v>127.04456</v>
      </c>
      <c r="E50" s="25">
        <f>F50</f>
        <v>127.04456</v>
      </c>
      <c r="F50" s="25">
        <f>ROUND(127.04456,5)</f>
        <v>127.04456</v>
      </c>
      <c r="G50" s="24"/>
      <c r="H50" s="36"/>
    </row>
    <row r="51" spans="1:8" ht="12.75" customHeight="1">
      <c r="A51" s="22" t="s">
        <v>33</v>
      </c>
      <c r="B51" s="22"/>
      <c r="C51" s="23"/>
      <c r="D51" s="23"/>
      <c r="E51" s="23"/>
      <c r="F51" s="23"/>
      <c r="G51" s="24"/>
      <c r="H51" s="36"/>
    </row>
    <row r="52" spans="1:8" ht="12.75" customHeight="1">
      <c r="A52" s="22">
        <v>42040</v>
      </c>
      <c r="B52" s="22"/>
      <c r="C52" s="25">
        <f>ROUND(8.255,5)</f>
        <v>8.255</v>
      </c>
      <c r="D52" s="25">
        <f>F52</f>
        <v>8.30977</v>
      </c>
      <c r="E52" s="25">
        <f>F52</f>
        <v>8.30977</v>
      </c>
      <c r="F52" s="25">
        <f>ROUND(8.30977,5)</f>
        <v>8.30977</v>
      </c>
      <c r="G52" s="24"/>
      <c r="H52" s="36"/>
    </row>
    <row r="53" spans="1:8" ht="12.75" customHeight="1">
      <c r="A53" s="22">
        <v>42131</v>
      </c>
      <c r="B53" s="22"/>
      <c r="C53" s="25">
        <f>ROUND(8.255,5)</f>
        <v>8.255</v>
      </c>
      <c r="D53" s="25">
        <f>F53</f>
        <v>8.36063</v>
      </c>
      <c r="E53" s="25">
        <f>F53</f>
        <v>8.36063</v>
      </c>
      <c r="F53" s="25">
        <f>ROUND(8.36063,5)</f>
        <v>8.36063</v>
      </c>
      <c r="G53" s="24"/>
      <c r="H53" s="36"/>
    </row>
    <row r="54" spans="1:8" ht="12.75" customHeight="1">
      <c r="A54" s="22">
        <v>42222</v>
      </c>
      <c r="B54" s="22"/>
      <c r="C54" s="25">
        <f>ROUND(8.255,5)</f>
        <v>8.255</v>
      </c>
      <c r="D54" s="25">
        <f>F54</f>
        <v>8.40564</v>
      </c>
      <c r="E54" s="25">
        <f>F54</f>
        <v>8.40564</v>
      </c>
      <c r="F54" s="25">
        <f>ROUND(8.40564,5)</f>
        <v>8.40564</v>
      </c>
      <c r="G54" s="24"/>
      <c r="H54" s="36"/>
    </row>
    <row r="55" spans="1:8" ht="12.75" customHeight="1">
      <c r="A55" s="22">
        <v>42313</v>
      </c>
      <c r="B55" s="22"/>
      <c r="C55" s="25">
        <f>ROUND(8.255,5)</f>
        <v>8.255</v>
      </c>
      <c r="D55" s="25">
        <f>F55</f>
        <v>8.43141</v>
      </c>
      <c r="E55" s="25">
        <f>F55</f>
        <v>8.43141</v>
      </c>
      <c r="F55" s="25">
        <f>ROUND(8.43141,5)</f>
        <v>8.43141</v>
      </c>
      <c r="G55" s="24"/>
      <c r="H55" s="36"/>
    </row>
    <row r="56" spans="1:8" ht="12.75" customHeight="1">
      <c r="A56" s="22">
        <v>42404</v>
      </c>
      <c r="B56" s="22"/>
      <c r="C56" s="25">
        <f>ROUND(8.255,5)</f>
        <v>8.255</v>
      </c>
      <c r="D56" s="25">
        <f>F56</f>
        <v>8.48786</v>
      </c>
      <c r="E56" s="25">
        <f>F56</f>
        <v>8.48786</v>
      </c>
      <c r="F56" s="25">
        <f>ROUND(8.48786,5)</f>
        <v>8.48786</v>
      </c>
      <c r="G56" s="24"/>
      <c r="H56" s="36"/>
    </row>
    <row r="57" spans="1:8" ht="12.75" customHeight="1">
      <c r="A57" s="22" t="s">
        <v>34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42040</v>
      </c>
      <c r="B58" s="22"/>
      <c r="C58" s="25">
        <f>ROUND(8.43,5)</f>
        <v>8.43</v>
      </c>
      <c r="D58" s="25">
        <f>F58</f>
        <v>8.48802</v>
      </c>
      <c r="E58" s="25">
        <f>F58</f>
        <v>8.48802</v>
      </c>
      <c r="F58" s="25">
        <f>ROUND(8.48802,5)</f>
        <v>8.48802</v>
      </c>
      <c r="G58" s="24"/>
      <c r="H58" s="36"/>
    </row>
    <row r="59" spans="1:8" ht="12.75" customHeight="1">
      <c r="A59" s="22">
        <v>42131</v>
      </c>
      <c r="B59" s="22"/>
      <c r="C59" s="25">
        <f>ROUND(8.43,5)</f>
        <v>8.43</v>
      </c>
      <c r="D59" s="25">
        <f>F59</f>
        <v>8.53983</v>
      </c>
      <c r="E59" s="25">
        <f>F59</f>
        <v>8.53983</v>
      </c>
      <c r="F59" s="25">
        <f>ROUND(8.53983,5)</f>
        <v>8.53983</v>
      </c>
      <c r="G59" s="24"/>
      <c r="H59" s="36"/>
    </row>
    <row r="60" spans="1:8" ht="12.75" customHeight="1">
      <c r="A60" s="22">
        <v>42222</v>
      </c>
      <c r="B60" s="22"/>
      <c r="C60" s="25">
        <f>ROUND(8.43,5)</f>
        <v>8.43</v>
      </c>
      <c r="D60" s="25">
        <f>F60</f>
        <v>8.5849</v>
      </c>
      <c r="E60" s="25">
        <f>F60</f>
        <v>8.5849</v>
      </c>
      <c r="F60" s="25">
        <f>ROUND(8.5849,5)</f>
        <v>8.5849</v>
      </c>
      <c r="G60" s="24"/>
      <c r="H60" s="36"/>
    </row>
    <row r="61" spans="1:8" ht="12.75" customHeight="1">
      <c r="A61" s="22">
        <v>42313</v>
      </c>
      <c r="B61" s="22"/>
      <c r="C61" s="25">
        <f>ROUND(8.43,5)</f>
        <v>8.43</v>
      </c>
      <c r="D61" s="25">
        <f>F61</f>
        <v>8.61592</v>
      </c>
      <c r="E61" s="25">
        <f>F61</f>
        <v>8.61592</v>
      </c>
      <c r="F61" s="25">
        <f>ROUND(8.61592,5)</f>
        <v>8.61592</v>
      </c>
      <c r="G61" s="24"/>
      <c r="H61" s="36"/>
    </row>
    <row r="62" spans="1:8" ht="12.75" customHeight="1">
      <c r="A62" s="22">
        <v>42404</v>
      </c>
      <c r="B62" s="22"/>
      <c r="C62" s="25">
        <f>ROUND(8.43,5)</f>
        <v>8.43</v>
      </c>
      <c r="D62" s="25">
        <f>F62</f>
        <v>8.67509</v>
      </c>
      <c r="E62" s="25">
        <f>F62</f>
        <v>8.67509</v>
      </c>
      <c r="F62" s="25">
        <f>ROUND(8.67509,5)</f>
        <v>8.67509</v>
      </c>
      <c r="G62" s="24"/>
      <c r="H62" s="36"/>
    </row>
    <row r="63" spans="1:8" ht="12.75" customHeight="1">
      <c r="A63" s="22" t="s">
        <v>35</v>
      </c>
      <c r="B63" s="22"/>
      <c r="C63" s="23"/>
      <c r="D63" s="23"/>
      <c r="E63" s="23"/>
      <c r="F63" s="23"/>
      <c r="G63" s="24"/>
      <c r="H63" s="36"/>
    </row>
    <row r="64" spans="1:8" ht="12.75" customHeight="1">
      <c r="A64" s="22">
        <v>42040</v>
      </c>
      <c r="B64" s="22"/>
      <c r="C64" s="25">
        <f>ROUND(8.54,5)</f>
        <v>8.54</v>
      </c>
      <c r="D64" s="25">
        <f>F64</f>
        <v>8.59438</v>
      </c>
      <c r="E64" s="25">
        <f>F64</f>
        <v>8.59438</v>
      </c>
      <c r="F64" s="25">
        <f>ROUND(8.59438,5)</f>
        <v>8.59438</v>
      </c>
      <c r="G64" s="24"/>
      <c r="H64" s="36"/>
    </row>
    <row r="65" spans="1:8" ht="12.75" customHeight="1">
      <c r="A65" s="22">
        <v>42131</v>
      </c>
      <c r="B65" s="22"/>
      <c r="C65" s="25">
        <f>ROUND(8.54,5)</f>
        <v>8.54</v>
      </c>
      <c r="D65" s="25">
        <f>F65</f>
        <v>8.64566</v>
      </c>
      <c r="E65" s="25">
        <f>F65</f>
        <v>8.64566</v>
      </c>
      <c r="F65" s="25">
        <f>ROUND(8.64566,5)</f>
        <v>8.64566</v>
      </c>
      <c r="G65" s="24"/>
      <c r="H65" s="36"/>
    </row>
    <row r="66" spans="1:8" ht="12.75" customHeight="1">
      <c r="A66" s="22">
        <v>42222</v>
      </c>
      <c r="B66" s="22"/>
      <c r="C66" s="25">
        <f>ROUND(8.54,5)</f>
        <v>8.54</v>
      </c>
      <c r="D66" s="25">
        <f>F66</f>
        <v>8.69199</v>
      </c>
      <c r="E66" s="25">
        <f>F66</f>
        <v>8.69199</v>
      </c>
      <c r="F66" s="25">
        <f>ROUND(8.69199,5)</f>
        <v>8.69199</v>
      </c>
      <c r="G66" s="24"/>
      <c r="H66" s="36"/>
    </row>
    <row r="67" spans="1:8" ht="12.75" customHeight="1">
      <c r="A67" s="22">
        <v>42313</v>
      </c>
      <c r="B67" s="22"/>
      <c r="C67" s="25">
        <f>ROUND(8.54,5)</f>
        <v>8.54</v>
      </c>
      <c r="D67" s="25">
        <f>F67</f>
        <v>8.72126</v>
      </c>
      <c r="E67" s="25">
        <f>F67</f>
        <v>8.72126</v>
      </c>
      <c r="F67" s="25">
        <f>ROUND(8.72126,5)</f>
        <v>8.72126</v>
      </c>
      <c r="G67" s="24"/>
      <c r="H67" s="36"/>
    </row>
    <row r="68" spans="1:8" ht="12.75" customHeight="1">
      <c r="A68" s="22">
        <v>42404</v>
      </c>
      <c r="B68" s="22"/>
      <c r="C68" s="25">
        <f>ROUND(8.54,5)</f>
        <v>8.54</v>
      </c>
      <c r="D68" s="25">
        <f>F68</f>
        <v>8.77715</v>
      </c>
      <c r="E68" s="25">
        <f>F68</f>
        <v>8.77715</v>
      </c>
      <c r="F68" s="25">
        <f>ROUND(8.77715,5)</f>
        <v>8.77715</v>
      </c>
      <c r="G68" s="24"/>
      <c r="H68" s="36"/>
    </row>
    <row r="69" spans="1:8" ht="12.75" customHeight="1">
      <c r="A69" s="22" t="s">
        <v>36</v>
      </c>
      <c r="B69" s="22"/>
      <c r="C69" s="23"/>
      <c r="D69" s="23"/>
      <c r="E69" s="23"/>
      <c r="F69" s="23"/>
      <c r="G69" s="24"/>
      <c r="H69" s="36"/>
    </row>
    <row r="70" spans="1:8" ht="12.75" customHeight="1">
      <c r="A70" s="22">
        <v>42040</v>
      </c>
      <c r="B70" s="22"/>
      <c r="C70" s="25">
        <f>ROUND(1.76,5)</f>
        <v>1.76</v>
      </c>
      <c r="D70" s="25">
        <f>F70</f>
        <v>126.40352</v>
      </c>
      <c r="E70" s="25">
        <f>F70</f>
        <v>126.40352</v>
      </c>
      <c r="F70" s="25">
        <f>ROUND(126.40352,5)</f>
        <v>126.40352</v>
      </c>
      <c r="G70" s="24"/>
      <c r="H70" s="36"/>
    </row>
    <row r="71" spans="1:8" ht="12.75" customHeight="1">
      <c r="A71" s="22">
        <v>42131</v>
      </c>
      <c r="B71" s="22"/>
      <c r="C71" s="25">
        <f>ROUND(1.76,5)</f>
        <v>1.76</v>
      </c>
      <c r="D71" s="25">
        <f>F71</f>
        <v>128.48905</v>
      </c>
      <c r="E71" s="25">
        <f>F71</f>
        <v>128.48905</v>
      </c>
      <c r="F71" s="25">
        <f>ROUND(128.48905,5)</f>
        <v>128.48905</v>
      </c>
      <c r="G71" s="24"/>
      <c r="H71" s="36"/>
    </row>
    <row r="72" spans="1:8" ht="12.75" customHeight="1">
      <c r="A72" s="22">
        <v>42222</v>
      </c>
      <c r="B72" s="22"/>
      <c r="C72" s="25">
        <f>ROUND(1.76,5)</f>
        <v>1.76</v>
      </c>
      <c r="D72" s="25">
        <f>F72</f>
        <v>130.68198</v>
      </c>
      <c r="E72" s="25">
        <f>F72</f>
        <v>130.68198</v>
      </c>
      <c r="F72" s="25">
        <f>ROUND(130.68198,5)</f>
        <v>130.68198</v>
      </c>
      <c r="G72" s="24"/>
      <c r="H72" s="36"/>
    </row>
    <row r="73" spans="1:8" ht="12.75" customHeight="1">
      <c r="A73" s="22">
        <v>42313</v>
      </c>
      <c r="B73" s="22"/>
      <c r="C73" s="25">
        <f>ROUND(1.76,5)</f>
        <v>1.76</v>
      </c>
      <c r="D73" s="25">
        <f>F73</f>
        <v>133.06941</v>
      </c>
      <c r="E73" s="25">
        <f>F73</f>
        <v>133.06941</v>
      </c>
      <c r="F73" s="25">
        <f>ROUND(133.06941,5)</f>
        <v>133.06941</v>
      </c>
      <c r="G73" s="24"/>
      <c r="H73" s="36"/>
    </row>
    <row r="74" spans="1:8" ht="12.75" customHeight="1">
      <c r="A74" s="22">
        <v>42404</v>
      </c>
      <c r="B74" s="22"/>
      <c r="C74" s="25">
        <f>ROUND(1.76,5)</f>
        <v>1.76</v>
      </c>
      <c r="D74" s="25">
        <f>F74</f>
        <v>135.23442</v>
      </c>
      <c r="E74" s="25">
        <f>F74</f>
        <v>135.23442</v>
      </c>
      <c r="F74" s="25">
        <f>ROUND(135.23442,5)</f>
        <v>135.23442</v>
      </c>
      <c r="G74" s="24"/>
      <c r="H74" s="36"/>
    </row>
    <row r="75" spans="1:8" ht="12.75" customHeight="1">
      <c r="A75" s="22" t="s">
        <v>37</v>
      </c>
      <c r="B75" s="22"/>
      <c r="C75" s="23"/>
      <c r="D75" s="23"/>
      <c r="E75" s="23"/>
      <c r="F75" s="23"/>
      <c r="G75" s="24"/>
      <c r="H75" s="36"/>
    </row>
    <row r="76" spans="1:8" ht="12.75" customHeight="1">
      <c r="A76" s="22">
        <v>42040</v>
      </c>
      <c r="B76" s="22"/>
      <c r="C76" s="25">
        <f>ROUND(8.625,5)</f>
        <v>8.625</v>
      </c>
      <c r="D76" s="25">
        <f>F76</f>
        <v>8.6776</v>
      </c>
      <c r="E76" s="25">
        <f>F76</f>
        <v>8.6776</v>
      </c>
      <c r="F76" s="25">
        <f>ROUND(8.6776,5)</f>
        <v>8.6776</v>
      </c>
      <c r="G76" s="24"/>
      <c r="H76" s="36"/>
    </row>
    <row r="77" spans="1:8" ht="12.75" customHeight="1">
      <c r="A77" s="22">
        <v>42131</v>
      </c>
      <c r="B77" s="22"/>
      <c r="C77" s="25">
        <f>ROUND(8.625,5)</f>
        <v>8.625</v>
      </c>
      <c r="D77" s="25">
        <f>F77</f>
        <v>8.72735</v>
      </c>
      <c r="E77" s="25">
        <f>F77</f>
        <v>8.72735</v>
      </c>
      <c r="F77" s="25">
        <f>ROUND(8.72735,5)</f>
        <v>8.72735</v>
      </c>
      <c r="G77" s="24"/>
      <c r="H77" s="36"/>
    </row>
    <row r="78" spans="1:8" ht="12.75" customHeight="1">
      <c r="A78" s="22">
        <v>42222</v>
      </c>
      <c r="B78" s="22"/>
      <c r="C78" s="25">
        <f>ROUND(8.625,5)</f>
        <v>8.625</v>
      </c>
      <c r="D78" s="25">
        <f>F78</f>
        <v>8.77245</v>
      </c>
      <c r="E78" s="25">
        <f>F78</f>
        <v>8.77245</v>
      </c>
      <c r="F78" s="25">
        <f>ROUND(8.77245,5)</f>
        <v>8.77245</v>
      </c>
      <c r="G78" s="24"/>
      <c r="H78" s="36"/>
    </row>
    <row r="79" spans="1:8" ht="12.75" customHeight="1">
      <c r="A79" s="22">
        <v>42313</v>
      </c>
      <c r="B79" s="22"/>
      <c r="C79" s="25">
        <f>ROUND(8.625,5)</f>
        <v>8.625</v>
      </c>
      <c r="D79" s="25">
        <f>F79</f>
        <v>8.80151</v>
      </c>
      <c r="E79" s="25">
        <f>F79</f>
        <v>8.80151</v>
      </c>
      <c r="F79" s="25">
        <f>ROUND(8.80151,5)</f>
        <v>8.80151</v>
      </c>
      <c r="G79" s="24"/>
      <c r="H79" s="36"/>
    </row>
    <row r="80" spans="1:8" ht="12.75" customHeight="1">
      <c r="A80" s="22">
        <v>42404</v>
      </c>
      <c r="B80" s="22"/>
      <c r="C80" s="25">
        <f>ROUND(8.625,5)</f>
        <v>8.625</v>
      </c>
      <c r="D80" s="25">
        <f>F80</f>
        <v>8.85532</v>
      </c>
      <c r="E80" s="25">
        <f>F80</f>
        <v>8.85532</v>
      </c>
      <c r="F80" s="25">
        <f>ROUND(8.85532,5)</f>
        <v>8.85532</v>
      </c>
      <c r="G80" s="24"/>
      <c r="H80" s="36"/>
    </row>
    <row r="81" spans="1:8" ht="12.75" customHeight="1">
      <c r="A81" s="22" t="s">
        <v>38</v>
      </c>
      <c r="B81" s="22"/>
      <c r="C81" s="23"/>
      <c r="D81" s="23"/>
      <c r="E81" s="23"/>
      <c r="F81" s="23"/>
      <c r="G81" s="24"/>
      <c r="H81" s="36"/>
    </row>
    <row r="82" spans="1:8" ht="12.75" customHeight="1">
      <c r="A82" s="22">
        <v>42040</v>
      </c>
      <c r="B82" s="22"/>
      <c r="C82" s="25">
        <f>ROUND(126.85833,5)</f>
        <v>126.85833</v>
      </c>
      <c r="D82" s="25">
        <f>F82</f>
        <v>128.68844</v>
      </c>
      <c r="E82" s="25">
        <f>F82</f>
        <v>128.68844</v>
      </c>
      <c r="F82" s="25">
        <f>ROUND(128.68844,5)</f>
        <v>128.68844</v>
      </c>
      <c r="G82" s="24"/>
      <c r="H82" s="36"/>
    </row>
    <row r="83" spans="1:8" ht="12.75" customHeight="1">
      <c r="A83" s="22">
        <v>42131</v>
      </c>
      <c r="B83" s="22"/>
      <c r="C83" s="25">
        <f>ROUND(126.85833,5)</f>
        <v>126.85833</v>
      </c>
      <c r="D83" s="25">
        <f>F83</f>
        <v>129.44088</v>
      </c>
      <c r="E83" s="25">
        <f>F83</f>
        <v>129.44088</v>
      </c>
      <c r="F83" s="25">
        <f>ROUND(129.44088,5)</f>
        <v>129.44088</v>
      </c>
      <c r="G83" s="24"/>
      <c r="H83" s="36"/>
    </row>
    <row r="84" spans="1:8" ht="12.75" customHeight="1">
      <c r="A84" s="22">
        <v>42222</v>
      </c>
      <c r="B84" s="22"/>
      <c r="C84" s="25">
        <f>ROUND(126.85833,5)</f>
        <v>126.85833</v>
      </c>
      <c r="D84" s="25">
        <f>F84</f>
        <v>131.69355</v>
      </c>
      <c r="E84" s="25">
        <f>F84</f>
        <v>131.69355</v>
      </c>
      <c r="F84" s="25">
        <f>ROUND(131.69355,5)</f>
        <v>131.69355</v>
      </c>
      <c r="G84" s="24"/>
      <c r="H84" s="36"/>
    </row>
    <row r="85" spans="1:8" ht="12.75" customHeight="1">
      <c r="A85" s="22">
        <v>42313</v>
      </c>
      <c r="B85" s="22"/>
      <c r="C85" s="25">
        <f>ROUND(126.85833,5)</f>
        <v>126.85833</v>
      </c>
      <c r="D85" s="25">
        <f>F85</f>
        <v>134.09976</v>
      </c>
      <c r="E85" s="25">
        <f>F85</f>
        <v>134.09976</v>
      </c>
      <c r="F85" s="25">
        <f>ROUND(134.09976,5)</f>
        <v>134.09976</v>
      </c>
      <c r="G85" s="24"/>
      <c r="H85" s="36"/>
    </row>
    <row r="86" spans="1:8" ht="12.75" customHeight="1">
      <c r="A86" s="22">
        <v>42404</v>
      </c>
      <c r="B86" s="22"/>
      <c r="C86" s="25">
        <f>ROUND(126.85833,5)</f>
        <v>126.85833</v>
      </c>
      <c r="D86" s="25">
        <f>F86</f>
        <v>136.28131</v>
      </c>
      <c r="E86" s="25">
        <f>F86</f>
        <v>136.28131</v>
      </c>
      <c r="F86" s="25">
        <f>ROUND(136.28131,5)</f>
        <v>136.28131</v>
      </c>
      <c r="G86" s="24"/>
      <c r="H86" s="36"/>
    </row>
    <row r="87" spans="1:8" ht="12.75" customHeight="1">
      <c r="A87" s="22" t="s">
        <v>39</v>
      </c>
      <c r="B87" s="22"/>
      <c r="C87" s="23"/>
      <c r="D87" s="23"/>
      <c r="E87" s="23"/>
      <c r="F87" s="23"/>
      <c r="G87" s="24"/>
      <c r="H87" s="36"/>
    </row>
    <row r="88" spans="1:8" ht="12.75" customHeight="1">
      <c r="A88" s="22">
        <v>42040</v>
      </c>
      <c r="B88" s="22"/>
      <c r="C88" s="25">
        <f>ROUND(1.78,5)</f>
        <v>1.78</v>
      </c>
      <c r="D88" s="25">
        <f>F88</f>
        <v>137.86471</v>
      </c>
      <c r="E88" s="25">
        <f>F88</f>
        <v>137.86471</v>
      </c>
      <c r="F88" s="25">
        <f>ROUND(137.86471,5)</f>
        <v>137.86471</v>
      </c>
      <c r="G88" s="24"/>
      <c r="H88" s="36"/>
    </row>
    <row r="89" spans="1:8" ht="12.75" customHeight="1">
      <c r="A89" s="22">
        <v>42131</v>
      </c>
      <c r="B89" s="22"/>
      <c r="C89" s="25">
        <f>ROUND(1.78,5)</f>
        <v>1.78</v>
      </c>
      <c r="D89" s="25">
        <f>F89</f>
        <v>140.13943</v>
      </c>
      <c r="E89" s="25">
        <f>F89</f>
        <v>140.13943</v>
      </c>
      <c r="F89" s="25">
        <f>ROUND(140.13943,5)</f>
        <v>140.13943</v>
      </c>
      <c r="G89" s="24"/>
      <c r="H89" s="36"/>
    </row>
    <row r="90" spans="1:8" ht="12.75" customHeight="1">
      <c r="A90" s="22">
        <v>42222</v>
      </c>
      <c r="B90" s="22"/>
      <c r="C90" s="25">
        <f>ROUND(1.78,5)</f>
        <v>1.78</v>
      </c>
      <c r="D90" s="25">
        <f>F90</f>
        <v>141.08946</v>
      </c>
      <c r="E90" s="25">
        <f>F90</f>
        <v>141.08946</v>
      </c>
      <c r="F90" s="25">
        <f>ROUND(141.08946,5)</f>
        <v>141.08946</v>
      </c>
      <c r="G90" s="24"/>
      <c r="H90" s="36"/>
    </row>
    <row r="91" spans="1:8" ht="12.75" customHeight="1">
      <c r="A91" s="22">
        <v>42313</v>
      </c>
      <c r="B91" s="22"/>
      <c r="C91" s="25">
        <f>ROUND(1.78,5)</f>
        <v>1.78</v>
      </c>
      <c r="D91" s="25">
        <f>F91</f>
        <v>143.66817</v>
      </c>
      <c r="E91" s="25">
        <f>F91</f>
        <v>143.66817</v>
      </c>
      <c r="F91" s="25">
        <f>ROUND(143.66817,5)</f>
        <v>143.66817</v>
      </c>
      <c r="G91" s="24"/>
      <c r="H91" s="36"/>
    </row>
    <row r="92" spans="1:8" ht="12.75" customHeight="1">
      <c r="A92" s="22">
        <v>42404</v>
      </c>
      <c r="B92" s="22"/>
      <c r="C92" s="25">
        <f>ROUND(1.78,5)</f>
        <v>1.78</v>
      </c>
      <c r="D92" s="25">
        <f>F92</f>
        <v>146.00478</v>
      </c>
      <c r="E92" s="25">
        <f>F92</f>
        <v>146.00478</v>
      </c>
      <c r="F92" s="25">
        <f>ROUND(146.00478,5)</f>
        <v>146.00478</v>
      </c>
      <c r="G92" s="24"/>
      <c r="H92" s="36"/>
    </row>
    <row r="93" spans="1:8" ht="12.75" customHeight="1">
      <c r="A93" s="22" t="s">
        <v>40</v>
      </c>
      <c r="B93" s="22"/>
      <c r="C93" s="23"/>
      <c r="D93" s="23"/>
      <c r="E93" s="23"/>
      <c r="F93" s="23"/>
      <c r="G93" s="24"/>
      <c r="H93" s="36"/>
    </row>
    <row r="94" spans="1:8" ht="12.75" customHeight="1">
      <c r="A94" s="22">
        <v>42040</v>
      </c>
      <c r="B94" s="22"/>
      <c r="C94" s="25">
        <f>ROUND(2.04,5)</f>
        <v>2.04</v>
      </c>
      <c r="D94" s="25">
        <f>F94</f>
        <v>125.25594</v>
      </c>
      <c r="E94" s="25">
        <f>F94</f>
        <v>125.25594</v>
      </c>
      <c r="F94" s="25">
        <f>ROUND(125.25594,5)</f>
        <v>125.25594</v>
      </c>
      <c r="G94" s="24"/>
      <c r="H94" s="36"/>
    </row>
    <row r="95" spans="1:8" ht="12.75" customHeight="1">
      <c r="A95" s="22">
        <v>42131</v>
      </c>
      <c r="B95" s="22"/>
      <c r="C95" s="25">
        <f>ROUND(2.04,5)</f>
        <v>2.04</v>
      </c>
      <c r="D95" s="25">
        <f>F95</f>
        <v>125.81096</v>
      </c>
      <c r="E95" s="25">
        <f>F95</f>
        <v>125.81096</v>
      </c>
      <c r="F95" s="25">
        <f>ROUND(125.81096,5)</f>
        <v>125.81096</v>
      </c>
      <c r="G95" s="24"/>
      <c r="H95" s="36"/>
    </row>
    <row r="96" spans="1:8" ht="12.75" customHeight="1">
      <c r="A96" s="22">
        <v>42222</v>
      </c>
      <c r="B96" s="22"/>
      <c r="C96" s="25">
        <f>ROUND(2.04,5)</f>
        <v>2.04</v>
      </c>
      <c r="D96" s="25">
        <f>F96</f>
        <v>128.00077</v>
      </c>
      <c r="E96" s="25">
        <f>F96</f>
        <v>128.00077</v>
      </c>
      <c r="F96" s="25">
        <f>ROUND(128.00077,5)</f>
        <v>128.00077</v>
      </c>
      <c r="G96" s="24"/>
      <c r="H96" s="36"/>
    </row>
    <row r="97" spans="1:8" ht="12.75" customHeight="1">
      <c r="A97" s="22">
        <v>42313</v>
      </c>
      <c r="B97" s="22"/>
      <c r="C97" s="25">
        <f>ROUND(2.04,5)</f>
        <v>2.04</v>
      </c>
      <c r="D97" s="25">
        <f>F97</f>
        <v>130.33981</v>
      </c>
      <c r="E97" s="25">
        <f>F97</f>
        <v>130.33981</v>
      </c>
      <c r="F97" s="25">
        <f>ROUND(130.33981,5)</f>
        <v>130.33981</v>
      </c>
      <c r="G97" s="24"/>
      <c r="H97" s="36"/>
    </row>
    <row r="98" spans="1:8" ht="12.75" customHeight="1">
      <c r="A98" s="22">
        <v>42404</v>
      </c>
      <c r="B98" s="22"/>
      <c r="C98" s="25">
        <f>ROUND(2.04,5)</f>
        <v>2.04</v>
      </c>
      <c r="D98" s="25">
        <f>F98</f>
        <v>132.45997</v>
      </c>
      <c r="E98" s="25">
        <f>F98</f>
        <v>132.45997</v>
      </c>
      <c r="F98" s="25">
        <f>ROUND(132.45997,5)</f>
        <v>132.45997</v>
      </c>
      <c r="G98" s="24"/>
      <c r="H98" s="36"/>
    </row>
    <row r="99" spans="1:8" ht="12.75" customHeight="1">
      <c r="A99" s="22" t="s">
        <v>41</v>
      </c>
      <c r="B99" s="22"/>
      <c r="C99" s="23"/>
      <c r="D99" s="23"/>
      <c r="E99" s="23"/>
      <c r="F99" s="23"/>
      <c r="G99" s="24"/>
      <c r="H99" s="36"/>
    </row>
    <row r="100" spans="1:8" ht="12.75" customHeight="1">
      <c r="A100" s="22">
        <v>42040</v>
      </c>
      <c r="B100" s="22"/>
      <c r="C100" s="25">
        <f>ROUND(9.33,5)</f>
        <v>9.33</v>
      </c>
      <c r="D100" s="25">
        <f>F100</f>
        <v>9.41185</v>
      </c>
      <c r="E100" s="25">
        <f>F100</f>
        <v>9.41185</v>
      </c>
      <c r="F100" s="25">
        <f>ROUND(9.41185,5)</f>
        <v>9.41185</v>
      </c>
      <c r="G100" s="24"/>
      <c r="H100" s="36"/>
    </row>
    <row r="101" spans="1:8" ht="12.75" customHeight="1">
      <c r="A101" s="22">
        <v>42131</v>
      </c>
      <c r="B101" s="22"/>
      <c r="C101" s="25">
        <f>ROUND(9.33,5)</f>
        <v>9.33</v>
      </c>
      <c r="D101" s="25">
        <f>F101</f>
        <v>9.48741</v>
      </c>
      <c r="E101" s="25">
        <f>F101</f>
        <v>9.48741</v>
      </c>
      <c r="F101" s="25">
        <f>ROUND(9.48741,5)</f>
        <v>9.48741</v>
      </c>
      <c r="G101" s="24"/>
      <c r="H101" s="36"/>
    </row>
    <row r="102" spans="1:8" ht="12.75" customHeight="1">
      <c r="A102" s="22">
        <v>42222</v>
      </c>
      <c r="B102" s="22"/>
      <c r="C102" s="25">
        <f>ROUND(9.33,5)</f>
        <v>9.33</v>
      </c>
      <c r="D102" s="25">
        <f>F102</f>
        <v>9.55705</v>
      </c>
      <c r="E102" s="25">
        <f>F102</f>
        <v>9.55705</v>
      </c>
      <c r="F102" s="25">
        <f>ROUND(9.55705,5)</f>
        <v>9.55705</v>
      </c>
      <c r="G102" s="24"/>
      <c r="H102" s="36"/>
    </row>
    <row r="103" spans="1:8" ht="12.75" customHeight="1">
      <c r="A103" s="22">
        <v>42313</v>
      </c>
      <c r="B103" s="22"/>
      <c r="C103" s="25">
        <f>ROUND(9.33,5)</f>
        <v>9.33</v>
      </c>
      <c r="D103" s="25">
        <f>F103</f>
        <v>9.61433</v>
      </c>
      <c r="E103" s="25">
        <f>F103</f>
        <v>9.61433</v>
      </c>
      <c r="F103" s="25">
        <f>ROUND(9.61433,5)</f>
        <v>9.61433</v>
      </c>
      <c r="G103" s="24"/>
      <c r="H103" s="36"/>
    </row>
    <row r="104" spans="1:8" ht="12.75" customHeight="1">
      <c r="A104" s="22">
        <v>42404</v>
      </c>
      <c r="B104" s="22"/>
      <c r="C104" s="25">
        <f>ROUND(9.33,5)</f>
        <v>9.33</v>
      </c>
      <c r="D104" s="25">
        <f>F104</f>
        <v>9.70245</v>
      </c>
      <c r="E104" s="25">
        <f>F104</f>
        <v>9.70245</v>
      </c>
      <c r="F104" s="25">
        <f>ROUND(9.70245,5)</f>
        <v>9.70245</v>
      </c>
      <c r="G104" s="24"/>
      <c r="H104" s="36"/>
    </row>
    <row r="105" spans="1:8" ht="12.75" customHeight="1">
      <c r="A105" s="22" t="s">
        <v>42</v>
      </c>
      <c r="B105" s="22"/>
      <c r="C105" s="23"/>
      <c r="D105" s="23"/>
      <c r="E105" s="23"/>
      <c r="F105" s="23"/>
      <c r="G105" s="24"/>
      <c r="H105" s="36"/>
    </row>
    <row r="106" spans="1:8" ht="12.75" customHeight="1">
      <c r="A106" s="22">
        <v>42040</v>
      </c>
      <c r="B106" s="22"/>
      <c r="C106" s="25">
        <f>ROUND(145.3222372,5)</f>
        <v>145.32224</v>
      </c>
      <c r="D106" s="25">
        <f>F106</f>
        <v>145.46685</v>
      </c>
      <c r="E106" s="25">
        <f>F106</f>
        <v>145.46685</v>
      </c>
      <c r="F106" s="25">
        <f>ROUND(145.46685,5)</f>
        <v>145.46685</v>
      </c>
      <c r="G106" s="24"/>
      <c r="H106" s="36"/>
    </row>
    <row r="107" spans="1:8" ht="12.75" customHeight="1">
      <c r="A107" s="22">
        <v>42131</v>
      </c>
      <c r="B107" s="22"/>
      <c r="C107" s="25">
        <f>ROUND(145.3222372,5)</f>
        <v>145.32224</v>
      </c>
      <c r="D107" s="25">
        <f>F107</f>
        <v>147.86712</v>
      </c>
      <c r="E107" s="25">
        <f>F107</f>
        <v>147.86712</v>
      </c>
      <c r="F107" s="25">
        <f>ROUND(147.86712,5)</f>
        <v>147.86712</v>
      </c>
      <c r="G107" s="24"/>
      <c r="H107" s="36"/>
    </row>
    <row r="108" spans="1:8" ht="12.75" customHeight="1">
      <c r="A108" s="22" t="s">
        <v>43</v>
      </c>
      <c r="B108" s="22"/>
      <c r="C108" s="23"/>
      <c r="D108" s="23"/>
      <c r="E108" s="23"/>
      <c r="F108" s="23"/>
      <c r="G108" s="24"/>
      <c r="H108" s="36"/>
    </row>
    <row r="109" spans="1:8" ht="12.75" customHeight="1">
      <c r="A109" s="22">
        <v>42040</v>
      </c>
      <c r="B109" s="22"/>
      <c r="C109" s="25">
        <f>ROUND(7.57,5)</f>
        <v>7.57</v>
      </c>
      <c r="D109" s="25">
        <f>F109</f>
        <v>7.62657</v>
      </c>
      <c r="E109" s="25">
        <f>F109</f>
        <v>7.62657</v>
      </c>
      <c r="F109" s="25">
        <f>ROUND(7.62657,5)</f>
        <v>7.62657</v>
      </c>
      <c r="G109" s="24"/>
      <c r="H109" s="36"/>
    </row>
    <row r="110" spans="1:8" ht="12.75" customHeight="1">
      <c r="A110" s="22">
        <v>42131</v>
      </c>
      <c r="B110" s="22"/>
      <c r="C110" s="25">
        <f>ROUND(7.57,5)</f>
        <v>7.57</v>
      </c>
      <c r="D110" s="25">
        <f>F110</f>
        <v>7.66754</v>
      </c>
      <c r="E110" s="25">
        <f>F110</f>
        <v>7.66754</v>
      </c>
      <c r="F110" s="25">
        <f>ROUND(7.66754,5)</f>
        <v>7.66754</v>
      </c>
      <c r="G110" s="24"/>
      <c r="H110" s="36"/>
    </row>
    <row r="111" spans="1:8" ht="12.75" customHeight="1">
      <c r="A111" s="22">
        <v>42222</v>
      </c>
      <c r="B111" s="22"/>
      <c r="C111" s="25">
        <f>ROUND(7.57,5)</f>
        <v>7.57</v>
      </c>
      <c r="D111" s="25">
        <f>F111</f>
        <v>7.69807</v>
      </c>
      <c r="E111" s="25">
        <f>F111</f>
        <v>7.69807</v>
      </c>
      <c r="F111" s="25">
        <f>ROUND(7.69807,5)</f>
        <v>7.69807</v>
      </c>
      <c r="G111" s="24"/>
      <c r="H111" s="36"/>
    </row>
    <row r="112" spans="1:8" ht="12.75" customHeight="1">
      <c r="A112" s="22">
        <v>42313</v>
      </c>
      <c r="B112" s="22"/>
      <c r="C112" s="25">
        <f>ROUND(7.57,5)</f>
        <v>7.57</v>
      </c>
      <c r="D112" s="25">
        <f>F112</f>
        <v>7.71058</v>
      </c>
      <c r="E112" s="25">
        <f>F112</f>
        <v>7.71058</v>
      </c>
      <c r="F112" s="25">
        <f>ROUND(7.71058,5)</f>
        <v>7.71058</v>
      </c>
      <c r="G112" s="24"/>
      <c r="H112" s="36"/>
    </row>
    <row r="113" spans="1:8" ht="12.75" customHeight="1">
      <c r="A113" s="22">
        <v>42404</v>
      </c>
      <c r="B113" s="22"/>
      <c r="C113" s="25">
        <f>ROUND(7.57,5)</f>
        <v>7.57</v>
      </c>
      <c r="D113" s="25">
        <f>F113</f>
        <v>7.76907</v>
      </c>
      <c r="E113" s="25">
        <f>F113</f>
        <v>7.76907</v>
      </c>
      <c r="F113" s="25">
        <f>ROUND(7.76907,5)</f>
        <v>7.76907</v>
      </c>
      <c r="G113" s="24"/>
      <c r="H113" s="36"/>
    </row>
    <row r="114" spans="1:8" ht="12.75" customHeight="1">
      <c r="A114" s="22" t="s">
        <v>44</v>
      </c>
      <c r="B114" s="22"/>
      <c r="C114" s="23"/>
      <c r="D114" s="23"/>
      <c r="E114" s="23"/>
      <c r="F114" s="23"/>
      <c r="G114" s="24"/>
      <c r="H114" s="36"/>
    </row>
    <row r="115" spans="1:8" ht="12.75" customHeight="1">
      <c r="A115" s="22">
        <v>42040</v>
      </c>
      <c r="B115" s="22"/>
      <c r="C115" s="25">
        <f>ROUND(7.84,5)</f>
        <v>7.84</v>
      </c>
      <c r="D115" s="25">
        <f>F115</f>
        <v>7.89306</v>
      </c>
      <c r="E115" s="25">
        <f>F115</f>
        <v>7.89306</v>
      </c>
      <c r="F115" s="25">
        <f>ROUND(7.89306,5)</f>
        <v>7.89306</v>
      </c>
      <c r="G115" s="24"/>
      <c r="H115" s="36"/>
    </row>
    <row r="116" spans="1:8" ht="12.75" customHeight="1">
      <c r="A116" s="22">
        <v>42131</v>
      </c>
      <c r="B116" s="22"/>
      <c r="C116" s="25">
        <f>ROUND(7.84,5)</f>
        <v>7.84</v>
      </c>
      <c r="D116" s="25">
        <f>F116</f>
        <v>7.93827</v>
      </c>
      <c r="E116" s="25">
        <f>F116</f>
        <v>7.93827</v>
      </c>
      <c r="F116" s="25">
        <f>ROUND(7.93827,5)</f>
        <v>7.93827</v>
      </c>
      <c r="G116" s="24"/>
      <c r="H116" s="36"/>
    </row>
    <row r="117" spans="1:8" ht="12.75" customHeight="1">
      <c r="A117" s="22">
        <v>42222</v>
      </c>
      <c r="B117" s="22"/>
      <c r="C117" s="25">
        <f>ROUND(7.84,5)</f>
        <v>7.84</v>
      </c>
      <c r="D117" s="25">
        <f>F117</f>
        <v>7.97464</v>
      </c>
      <c r="E117" s="25">
        <f>F117</f>
        <v>7.97464</v>
      </c>
      <c r="F117" s="25">
        <f>ROUND(7.97464,5)</f>
        <v>7.97464</v>
      </c>
      <c r="G117" s="24"/>
      <c r="H117" s="36"/>
    </row>
    <row r="118" spans="1:8" ht="12.75" customHeight="1">
      <c r="A118" s="22">
        <v>42313</v>
      </c>
      <c r="B118" s="22"/>
      <c r="C118" s="25">
        <f>ROUND(7.84,5)</f>
        <v>7.84</v>
      </c>
      <c r="D118" s="25">
        <f>F118</f>
        <v>7.99252</v>
      </c>
      <c r="E118" s="25">
        <f>F118</f>
        <v>7.99252</v>
      </c>
      <c r="F118" s="25">
        <f>ROUND(7.99252,5)</f>
        <v>7.99252</v>
      </c>
      <c r="G118" s="24"/>
      <c r="H118" s="36"/>
    </row>
    <row r="119" spans="1:8" ht="12.75" customHeight="1">
      <c r="A119" s="22">
        <v>42404</v>
      </c>
      <c r="B119" s="22"/>
      <c r="C119" s="25">
        <f>ROUND(7.84,5)</f>
        <v>7.84</v>
      </c>
      <c r="D119" s="25">
        <f>F119</f>
        <v>8.04584</v>
      </c>
      <c r="E119" s="25">
        <f>F119</f>
        <v>8.04584</v>
      </c>
      <c r="F119" s="25">
        <f>ROUND(8.04584,5)</f>
        <v>8.04584</v>
      </c>
      <c r="G119" s="24"/>
      <c r="H119" s="36"/>
    </row>
    <row r="120" spans="1:8" ht="12.75" customHeight="1">
      <c r="A120" s="22" t="s">
        <v>45</v>
      </c>
      <c r="B120" s="22"/>
      <c r="C120" s="23"/>
      <c r="D120" s="23"/>
      <c r="E120" s="23"/>
      <c r="F120" s="23"/>
      <c r="G120" s="24"/>
      <c r="H120" s="36"/>
    </row>
    <row r="121" spans="1:8" ht="12.75" customHeight="1">
      <c r="A121" s="22">
        <v>42040</v>
      </c>
      <c r="B121" s="22"/>
      <c r="C121" s="25">
        <f>ROUND(1.66,5)</f>
        <v>1.66</v>
      </c>
      <c r="D121" s="25">
        <f>F121</f>
        <v>288.70891</v>
      </c>
      <c r="E121" s="25">
        <f>F121</f>
        <v>288.70891</v>
      </c>
      <c r="F121" s="25">
        <f>ROUND(288.70891,5)</f>
        <v>288.70891</v>
      </c>
      <c r="G121" s="24"/>
      <c r="H121" s="36"/>
    </row>
    <row r="122" spans="1:8" ht="12.75" customHeight="1">
      <c r="A122" s="22">
        <v>42131</v>
      </c>
      <c r="B122" s="22"/>
      <c r="C122" s="25">
        <f>ROUND(1.66,5)</f>
        <v>1.66</v>
      </c>
      <c r="D122" s="25">
        <f>F122</f>
        <v>293.47221</v>
      </c>
      <c r="E122" s="25">
        <f>F122</f>
        <v>293.47221</v>
      </c>
      <c r="F122" s="25">
        <f>ROUND(293.47221,5)</f>
        <v>293.47221</v>
      </c>
      <c r="G122" s="24"/>
      <c r="H122" s="36"/>
    </row>
    <row r="123" spans="1:8" ht="12.75" customHeight="1">
      <c r="A123" s="22">
        <v>42222</v>
      </c>
      <c r="B123" s="22"/>
      <c r="C123" s="25">
        <f>ROUND(1.66,5)</f>
        <v>1.66</v>
      </c>
      <c r="D123" s="25">
        <f>F123</f>
        <v>292.41764</v>
      </c>
      <c r="E123" s="25">
        <f>F123</f>
        <v>292.41764</v>
      </c>
      <c r="F123" s="25">
        <f>ROUND(292.41764,5)</f>
        <v>292.41764</v>
      </c>
      <c r="G123" s="24"/>
      <c r="H123" s="36"/>
    </row>
    <row r="124" spans="1:8" ht="12.75" customHeight="1">
      <c r="A124" s="22">
        <v>42313</v>
      </c>
      <c r="B124" s="22"/>
      <c r="C124" s="25">
        <f>ROUND(1.66,5)</f>
        <v>1.66</v>
      </c>
      <c r="D124" s="25">
        <f>F124</f>
        <v>297.76437</v>
      </c>
      <c r="E124" s="25">
        <f>F124</f>
        <v>297.76437</v>
      </c>
      <c r="F124" s="25">
        <f>ROUND(297.76437,5)</f>
        <v>297.76437</v>
      </c>
      <c r="G124" s="24"/>
      <c r="H124" s="36"/>
    </row>
    <row r="125" spans="1:8" ht="12.75" customHeight="1">
      <c r="A125" s="22">
        <v>42404</v>
      </c>
      <c r="B125" s="22"/>
      <c r="C125" s="25">
        <f>ROUND(1.66,5)</f>
        <v>1.66</v>
      </c>
      <c r="D125" s="25">
        <f>F125</f>
        <v>302.60557</v>
      </c>
      <c r="E125" s="25">
        <f>F125</f>
        <v>302.60557</v>
      </c>
      <c r="F125" s="25">
        <f>ROUND(302.60557,5)</f>
        <v>302.60557</v>
      </c>
      <c r="G125" s="24"/>
      <c r="H125" s="36"/>
    </row>
    <row r="126" spans="1:8" ht="12.75" customHeight="1">
      <c r="A126" s="22" t="s">
        <v>46</v>
      </c>
      <c r="B126" s="22"/>
      <c r="C126" s="23"/>
      <c r="D126" s="23"/>
      <c r="E126" s="23"/>
      <c r="F126" s="23"/>
      <c r="G126" s="24"/>
      <c r="H126" s="36"/>
    </row>
    <row r="127" spans="1:8" ht="12.75" customHeight="1">
      <c r="A127" s="22">
        <v>42040</v>
      </c>
      <c r="B127" s="22"/>
      <c r="C127" s="25">
        <f>ROUND(1.75,5)</f>
        <v>1.75</v>
      </c>
      <c r="D127" s="25">
        <f>F127</f>
        <v>235.93137</v>
      </c>
      <c r="E127" s="25">
        <f>F127</f>
        <v>235.93137</v>
      </c>
      <c r="F127" s="25">
        <f>ROUND(235.93137,5)</f>
        <v>235.93137</v>
      </c>
      <c r="G127" s="24"/>
      <c r="H127" s="36"/>
    </row>
    <row r="128" spans="1:8" ht="12.75" customHeight="1">
      <c r="A128" s="22">
        <v>42131</v>
      </c>
      <c r="B128" s="22"/>
      <c r="C128" s="25">
        <f>ROUND(1.75,5)</f>
        <v>1.75</v>
      </c>
      <c r="D128" s="25">
        <f>F128</f>
        <v>239.82408</v>
      </c>
      <c r="E128" s="25">
        <f>F128</f>
        <v>239.82408</v>
      </c>
      <c r="F128" s="25">
        <f>ROUND(239.82408,5)</f>
        <v>239.82408</v>
      </c>
      <c r="G128" s="24"/>
      <c r="H128" s="36"/>
    </row>
    <row r="129" spans="1:8" ht="12.75" customHeight="1">
      <c r="A129" s="22">
        <v>42222</v>
      </c>
      <c r="B129" s="22"/>
      <c r="C129" s="25">
        <f>ROUND(1.75,5)</f>
        <v>1.75</v>
      </c>
      <c r="D129" s="25">
        <f>F129</f>
        <v>240.72439</v>
      </c>
      <c r="E129" s="25">
        <f>F129</f>
        <v>240.72439</v>
      </c>
      <c r="F129" s="25">
        <f>ROUND(240.72439,5)</f>
        <v>240.72439</v>
      </c>
      <c r="G129" s="24"/>
      <c r="H129" s="36"/>
    </row>
    <row r="130" spans="1:8" ht="12.75" customHeight="1">
      <c r="A130" s="22">
        <v>42313</v>
      </c>
      <c r="B130" s="22"/>
      <c r="C130" s="25">
        <f>ROUND(1.75,5)</f>
        <v>1.75</v>
      </c>
      <c r="D130" s="25">
        <f>F130</f>
        <v>245.12431</v>
      </c>
      <c r="E130" s="25">
        <f>F130</f>
        <v>245.12431</v>
      </c>
      <c r="F130" s="25">
        <f>ROUND(245.12431,5)</f>
        <v>245.12431</v>
      </c>
      <c r="G130" s="24"/>
      <c r="H130" s="36"/>
    </row>
    <row r="131" spans="1:8" ht="12.75" customHeight="1">
      <c r="A131" s="22">
        <v>42404</v>
      </c>
      <c r="B131" s="22"/>
      <c r="C131" s="25">
        <f>ROUND(1.75,5)</f>
        <v>1.75</v>
      </c>
      <c r="D131" s="25">
        <f>F131</f>
        <v>249.11086</v>
      </c>
      <c r="E131" s="25">
        <f>F131</f>
        <v>249.11086</v>
      </c>
      <c r="F131" s="25">
        <f>ROUND(249.11086,5)</f>
        <v>249.11086</v>
      </c>
      <c r="G131" s="24"/>
      <c r="H131" s="36"/>
    </row>
    <row r="132" spans="1:8" ht="12.75" customHeight="1">
      <c r="A132" s="22" t="s">
        <v>47</v>
      </c>
      <c r="B132" s="22"/>
      <c r="C132" s="23"/>
      <c r="D132" s="23"/>
      <c r="E132" s="23"/>
      <c r="F132" s="23"/>
      <c r="G132" s="24"/>
      <c r="H132" s="36"/>
    </row>
    <row r="133" spans="1:8" ht="12.75" customHeight="1">
      <c r="A133" s="22">
        <v>42040</v>
      </c>
      <c r="B133" s="22"/>
      <c r="C133" s="25">
        <f>ROUND(6.6,5)</f>
        <v>6.6</v>
      </c>
      <c r="D133" s="25">
        <f>F133</f>
        <v>6.64631</v>
      </c>
      <c r="E133" s="25">
        <f>F133</f>
        <v>6.64631</v>
      </c>
      <c r="F133" s="25">
        <f>ROUND(6.64631,5)</f>
        <v>6.64631</v>
      </c>
      <c r="G133" s="24"/>
      <c r="H133" s="36"/>
    </row>
    <row r="134" spans="1:8" ht="12.75" customHeight="1">
      <c r="A134" s="22">
        <v>42131</v>
      </c>
      <c r="B134" s="22"/>
      <c r="C134" s="25">
        <f>ROUND(6.6,5)</f>
        <v>6.6</v>
      </c>
      <c r="D134" s="25">
        <f>F134</f>
        <v>6.64708</v>
      </c>
      <c r="E134" s="25">
        <f>F134</f>
        <v>6.64708</v>
      </c>
      <c r="F134" s="25">
        <f>ROUND(6.64708,5)</f>
        <v>6.64708</v>
      </c>
      <c r="G134" s="24"/>
      <c r="H134" s="36"/>
    </row>
    <row r="135" spans="1:8" ht="12.75" customHeight="1">
      <c r="A135" s="22">
        <v>42222</v>
      </c>
      <c r="B135" s="22"/>
      <c r="C135" s="25">
        <f>ROUND(6.6,5)</f>
        <v>6.6</v>
      </c>
      <c r="D135" s="25">
        <f>F135</f>
        <v>6.60373</v>
      </c>
      <c r="E135" s="25">
        <f>F135</f>
        <v>6.60373</v>
      </c>
      <c r="F135" s="25">
        <f>ROUND(6.60373,5)</f>
        <v>6.60373</v>
      </c>
      <c r="G135" s="24"/>
      <c r="H135" s="36"/>
    </row>
    <row r="136" spans="1:8" ht="12.75" customHeight="1">
      <c r="A136" s="22">
        <v>42313</v>
      </c>
      <c r="B136" s="22"/>
      <c r="C136" s="25">
        <f>ROUND(6.6,5)</f>
        <v>6.6</v>
      </c>
      <c r="D136" s="25">
        <f>F136</f>
        <v>6.4803</v>
      </c>
      <c r="E136" s="25">
        <f>F136</f>
        <v>6.4803</v>
      </c>
      <c r="F136" s="25">
        <f>ROUND(6.4803,5)</f>
        <v>6.4803</v>
      </c>
      <c r="G136" s="24"/>
      <c r="H136" s="36"/>
    </row>
    <row r="137" spans="1:8" ht="12.75" customHeight="1">
      <c r="A137" s="22">
        <v>42404</v>
      </c>
      <c r="B137" s="22"/>
      <c r="C137" s="25">
        <f>ROUND(6.6,5)</f>
        <v>6.6</v>
      </c>
      <c r="D137" s="25">
        <f>F137</f>
        <v>6.47744</v>
      </c>
      <c r="E137" s="25">
        <f>F137</f>
        <v>6.47744</v>
      </c>
      <c r="F137" s="25">
        <f>ROUND(6.47744,5)</f>
        <v>6.47744</v>
      </c>
      <c r="G137" s="24"/>
      <c r="H137" s="36"/>
    </row>
    <row r="138" spans="1:8" ht="12.75" customHeight="1">
      <c r="A138" s="22" t="s">
        <v>48</v>
      </c>
      <c r="B138" s="22"/>
      <c r="C138" s="23"/>
      <c r="D138" s="23"/>
      <c r="E138" s="23"/>
      <c r="F138" s="23"/>
      <c r="G138" s="24"/>
      <c r="H138" s="36"/>
    </row>
    <row r="139" spans="1:8" ht="12.75" customHeight="1">
      <c r="A139" s="22">
        <v>42040</v>
      </c>
      <c r="B139" s="22"/>
      <c r="C139" s="25">
        <f>ROUND(6.9,5)</f>
        <v>6.9</v>
      </c>
      <c r="D139" s="25">
        <f>F139</f>
        <v>6.94979</v>
      </c>
      <c r="E139" s="25">
        <f>F139</f>
        <v>6.94979</v>
      </c>
      <c r="F139" s="25">
        <f>ROUND(6.94979,5)</f>
        <v>6.94979</v>
      </c>
      <c r="G139" s="24"/>
      <c r="H139" s="36"/>
    </row>
    <row r="140" spans="1:8" ht="12.75" customHeight="1">
      <c r="A140" s="22">
        <v>42131</v>
      </c>
      <c r="B140" s="22"/>
      <c r="C140" s="25">
        <f>ROUND(6.9,5)</f>
        <v>6.9</v>
      </c>
      <c r="D140" s="25">
        <f>F140</f>
        <v>6.97731</v>
      </c>
      <c r="E140" s="25">
        <f>F140</f>
        <v>6.97731</v>
      </c>
      <c r="F140" s="25">
        <f>ROUND(6.97731,5)</f>
        <v>6.97731</v>
      </c>
      <c r="G140" s="24"/>
      <c r="H140" s="36"/>
    </row>
    <row r="141" spans="1:8" ht="12.75" customHeight="1">
      <c r="A141" s="22">
        <v>42222</v>
      </c>
      <c r="B141" s="22"/>
      <c r="C141" s="25">
        <f>ROUND(6.9,5)</f>
        <v>6.9</v>
      </c>
      <c r="D141" s="25">
        <f>F141</f>
        <v>6.98204</v>
      </c>
      <c r="E141" s="25">
        <f>F141</f>
        <v>6.98204</v>
      </c>
      <c r="F141" s="25">
        <f>ROUND(6.98204,5)</f>
        <v>6.98204</v>
      </c>
      <c r="G141" s="24"/>
      <c r="H141" s="36"/>
    </row>
    <row r="142" spans="1:8" ht="12.75" customHeight="1">
      <c r="A142" s="22">
        <v>42313</v>
      </c>
      <c r="B142" s="22"/>
      <c r="C142" s="25">
        <f>ROUND(6.9,5)</f>
        <v>6.9</v>
      </c>
      <c r="D142" s="25">
        <f>F142</f>
        <v>6.93843</v>
      </c>
      <c r="E142" s="25">
        <f>F142</f>
        <v>6.93843</v>
      </c>
      <c r="F142" s="25">
        <f>ROUND(6.93843,5)</f>
        <v>6.93843</v>
      </c>
      <c r="G142" s="24"/>
      <c r="H142" s="36"/>
    </row>
    <row r="143" spans="1:8" ht="12.75" customHeight="1">
      <c r="A143" s="22">
        <v>42404</v>
      </c>
      <c r="B143" s="22"/>
      <c r="C143" s="25">
        <f>ROUND(6.9,5)</f>
        <v>6.9</v>
      </c>
      <c r="D143" s="25">
        <f>F143</f>
        <v>6.97809</v>
      </c>
      <c r="E143" s="25">
        <f>F143</f>
        <v>6.97809</v>
      </c>
      <c r="F143" s="25">
        <f>ROUND(6.97809,5)</f>
        <v>6.97809</v>
      </c>
      <c r="G143" s="24"/>
      <c r="H143" s="36"/>
    </row>
    <row r="144" spans="1:8" ht="12.75" customHeight="1">
      <c r="A144" s="22" t="s">
        <v>49</v>
      </c>
      <c r="B144" s="22"/>
      <c r="C144" s="23"/>
      <c r="D144" s="23"/>
      <c r="E144" s="23"/>
      <c r="F144" s="23"/>
      <c r="G144" s="24"/>
      <c r="H144" s="36"/>
    </row>
    <row r="145" spans="1:8" ht="12.75" customHeight="1">
      <c r="A145" s="22">
        <v>42040</v>
      </c>
      <c r="B145" s="22"/>
      <c r="C145" s="25">
        <f>ROUND(7.15,5)</f>
        <v>7.15</v>
      </c>
      <c r="D145" s="25">
        <f>F145</f>
        <v>7.20292</v>
      </c>
      <c r="E145" s="25">
        <f>F145</f>
        <v>7.20292</v>
      </c>
      <c r="F145" s="25">
        <f>ROUND(7.20292,5)</f>
        <v>7.20292</v>
      </c>
      <c r="G145" s="24"/>
      <c r="H145" s="36"/>
    </row>
    <row r="146" spans="1:8" ht="12.75" customHeight="1">
      <c r="A146" s="22">
        <v>42131</v>
      </c>
      <c r="B146" s="22"/>
      <c r="C146" s="25">
        <f>ROUND(7.15,5)</f>
        <v>7.15</v>
      </c>
      <c r="D146" s="25">
        <f>F146</f>
        <v>7.2431</v>
      </c>
      <c r="E146" s="25">
        <f>F146</f>
        <v>7.2431</v>
      </c>
      <c r="F146" s="25">
        <f>ROUND(7.2431,5)</f>
        <v>7.2431</v>
      </c>
      <c r="G146" s="24"/>
      <c r="H146" s="36"/>
    </row>
    <row r="147" spans="1:8" ht="12.75" customHeight="1">
      <c r="A147" s="22">
        <v>42222</v>
      </c>
      <c r="B147" s="22"/>
      <c r="C147" s="25">
        <f>ROUND(7.15,5)</f>
        <v>7.15</v>
      </c>
      <c r="D147" s="25">
        <f>F147</f>
        <v>7.26661</v>
      </c>
      <c r="E147" s="25">
        <f>F147</f>
        <v>7.26661</v>
      </c>
      <c r="F147" s="25">
        <f>ROUND(7.26661,5)</f>
        <v>7.26661</v>
      </c>
      <c r="G147" s="24"/>
      <c r="H147" s="36"/>
    </row>
    <row r="148" spans="1:8" ht="12.75" customHeight="1">
      <c r="A148" s="22">
        <v>42313</v>
      </c>
      <c r="B148" s="22"/>
      <c r="C148" s="25">
        <f>ROUND(7.15,5)</f>
        <v>7.15</v>
      </c>
      <c r="D148" s="25">
        <f>F148</f>
        <v>7.24992</v>
      </c>
      <c r="E148" s="25">
        <f>F148</f>
        <v>7.24992</v>
      </c>
      <c r="F148" s="25">
        <f>ROUND(7.24992,5)</f>
        <v>7.24992</v>
      </c>
      <c r="G148" s="24"/>
      <c r="H148" s="36"/>
    </row>
    <row r="149" spans="1:8" ht="12.75" customHeight="1">
      <c r="A149" s="22">
        <v>42404</v>
      </c>
      <c r="B149" s="22"/>
      <c r="C149" s="25">
        <f>ROUND(7.15,5)</f>
        <v>7.15</v>
      </c>
      <c r="D149" s="25">
        <f>F149</f>
        <v>7.3011</v>
      </c>
      <c r="E149" s="25">
        <f>F149</f>
        <v>7.3011</v>
      </c>
      <c r="F149" s="25">
        <f>ROUND(7.3011,5)</f>
        <v>7.3011</v>
      </c>
      <c r="G149" s="24"/>
      <c r="H149" s="36"/>
    </row>
    <row r="150" spans="1:8" ht="12.75" customHeight="1">
      <c r="A150" s="22" t="s">
        <v>50</v>
      </c>
      <c r="B150" s="22"/>
      <c r="C150" s="23"/>
      <c r="D150" s="23"/>
      <c r="E150" s="23"/>
      <c r="F150" s="23"/>
      <c r="G150" s="24"/>
      <c r="H150" s="36"/>
    </row>
    <row r="151" spans="1:8" ht="12.75" customHeight="1">
      <c r="A151" s="22">
        <v>42040</v>
      </c>
      <c r="B151" s="22"/>
      <c r="C151" s="25">
        <f>ROUND(7.325,5)</f>
        <v>7.325</v>
      </c>
      <c r="D151" s="25">
        <f>F151</f>
        <v>7.37892</v>
      </c>
      <c r="E151" s="25">
        <f>F151</f>
        <v>7.37892</v>
      </c>
      <c r="F151" s="25">
        <f>ROUND(7.37892,5)</f>
        <v>7.37892</v>
      </c>
      <c r="G151" s="24"/>
      <c r="H151" s="36"/>
    </row>
    <row r="152" spans="1:8" ht="12.75" customHeight="1">
      <c r="A152" s="22">
        <v>42131</v>
      </c>
      <c r="B152" s="22"/>
      <c r="C152" s="25">
        <f>ROUND(7.325,5)</f>
        <v>7.325</v>
      </c>
      <c r="D152" s="25">
        <f>F152</f>
        <v>7.41821</v>
      </c>
      <c r="E152" s="25">
        <f>F152</f>
        <v>7.41821</v>
      </c>
      <c r="F152" s="25">
        <f>ROUND(7.41821,5)</f>
        <v>7.41821</v>
      </c>
      <c r="G152" s="24"/>
      <c r="H152" s="36"/>
    </row>
    <row r="153" spans="1:8" ht="12.75" customHeight="1">
      <c r="A153" s="22">
        <v>42222</v>
      </c>
      <c r="B153" s="22"/>
      <c r="C153" s="25">
        <f>ROUND(7.325,5)</f>
        <v>7.325</v>
      </c>
      <c r="D153" s="25">
        <f>F153</f>
        <v>7.44415</v>
      </c>
      <c r="E153" s="25">
        <f>F153</f>
        <v>7.44415</v>
      </c>
      <c r="F153" s="25">
        <f>ROUND(7.44415,5)</f>
        <v>7.44415</v>
      </c>
      <c r="G153" s="24"/>
      <c r="H153" s="36"/>
    </row>
    <row r="154" spans="1:8" ht="12.75" customHeight="1">
      <c r="A154" s="22">
        <v>42313</v>
      </c>
      <c r="B154" s="22"/>
      <c r="C154" s="25">
        <f>ROUND(7.325,5)</f>
        <v>7.325</v>
      </c>
      <c r="D154" s="25">
        <f>F154</f>
        <v>7.44291</v>
      </c>
      <c r="E154" s="25">
        <f>F154</f>
        <v>7.44291</v>
      </c>
      <c r="F154" s="25">
        <f>ROUND(7.44291,5)</f>
        <v>7.44291</v>
      </c>
      <c r="G154" s="24"/>
      <c r="H154" s="36"/>
    </row>
    <row r="155" spans="1:8" ht="12.75" customHeight="1">
      <c r="A155" s="22">
        <v>42404</v>
      </c>
      <c r="B155" s="22"/>
      <c r="C155" s="25">
        <f>ROUND(7.325,5)</f>
        <v>7.325</v>
      </c>
      <c r="D155" s="25">
        <f>F155</f>
        <v>7.49544</v>
      </c>
      <c r="E155" s="25">
        <f>F155</f>
        <v>7.49544</v>
      </c>
      <c r="F155" s="25">
        <f>ROUND(7.49544,5)</f>
        <v>7.49544</v>
      </c>
      <c r="G155" s="24"/>
      <c r="H155" s="36"/>
    </row>
    <row r="156" spans="1:8" ht="12.75" customHeight="1">
      <c r="A156" s="22" t="s">
        <v>51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42040</v>
      </c>
      <c r="B157" s="22"/>
      <c r="C157" s="25">
        <f>ROUND(8.455,5)</f>
        <v>8.455</v>
      </c>
      <c r="D157" s="25">
        <f>F157</f>
        <v>8.50591</v>
      </c>
      <c r="E157" s="25">
        <f>F157</f>
        <v>8.50591</v>
      </c>
      <c r="F157" s="25">
        <f>ROUND(8.50591,5)</f>
        <v>8.50591</v>
      </c>
      <c r="G157" s="24"/>
      <c r="H157" s="36"/>
    </row>
    <row r="158" spans="1:8" ht="12.75" customHeight="1">
      <c r="A158" s="22">
        <v>42131</v>
      </c>
      <c r="B158" s="22"/>
      <c r="C158" s="25">
        <f>ROUND(8.455,5)</f>
        <v>8.455</v>
      </c>
      <c r="D158" s="25">
        <f>F158</f>
        <v>8.5512</v>
      </c>
      <c r="E158" s="25">
        <f>F158</f>
        <v>8.5512</v>
      </c>
      <c r="F158" s="25">
        <f>ROUND(8.5512,5)</f>
        <v>8.5512</v>
      </c>
      <c r="G158" s="24"/>
      <c r="H158" s="36"/>
    </row>
    <row r="159" spans="1:8" ht="12.75" customHeight="1">
      <c r="A159" s="22">
        <v>42222</v>
      </c>
      <c r="B159" s="22"/>
      <c r="C159" s="25">
        <f>ROUND(8.455,5)</f>
        <v>8.455</v>
      </c>
      <c r="D159" s="25">
        <f>F159</f>
        <v>8.59042</v>
      </c>
      <c r="E159" s="25">
        <f>F159</f>
        <v>8.59042</v>
      </c>
      <c r="F159" s="25">
        <f>ROUND(8.59042,5)</f>
        <v>8.59042</v>
      </c>
      <c r="G159" s="24"/>
      <c r="H159" s="36"/>
    </row>
    <row r="160" spans="1:8" ht="12.75" customHeight="1">
      <c r="A160" s="22">
        <v>42313</v>
      </c>
      <c r="B160" s="22"/>
      <c r="C160" s="25">
        <f>ROUND(8.455,5)</f>
        <v>8.455</v>
      </c>
      <c r="D160" s="25">
        <f>F160</f>
        <v>8.61729</v>
      </c>
      <c r="E160" s="25">
        <f>F160</f>
        <v>8.61729</v>
      </c>
      <c r="F160" s="25">
        <f>ROUND(8.61729,5)</f>
        <v>8.61729</v>
      </c>
      <c r="G160" s="24"/>
      <c r="H160" s="36"/>
    </row>
    <row r="161" spans="1:8" ht="12.75" customHeight="1">
      <c r="A161" s="22">
        <v>42404</v>
      </c>
      <c r="B161" s="22"/>
      <c r="C161" s="25">
        <f>ROUND(8.455,5)</f>
        <v>8.455</v>
      </c>
      <c r="D161" s="25">
        <f>F161</f>
        <v>8.66815</v>
      </c>
      <c r="E161" s="25">
        <f>F161</f>
        <v>8.66815</v>
      </c>
      <c r="F161" s="25">
        <f>ROUND(8.66815,5)</f>
        <v>8.66815</v>
      </c>
      <c r="G161" s="24"/>
      <c r="H161" s="36"/>
    </row>
    <row r="162" spans="1:8" ht="12.75" customHeight="1">
      <c r="A162" s="22" t="s">
        <v>52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42040</v>
      </c>
      <c r="B163" s="22"/>
      <c r="C163" s="25">
        <f>ROUND(1.68,5)</f>
        <v>1.68</v>
      </c>
      <c r="D163" s="25">
        <f>F163</f>
        <v>177.58984</v>
      </c>
      <c r="E163" s="25">
        <f>F163</f>
        <v>177.58984</v>
      </c>
      <c r="F163" s="25">
        <f>ROUND(177.58984,5)</f>
        <v>177.58984</v>
      </c>
      <c r="G163" s="24"/>
      <c r="H163" s="36"/>
    </row>
    <row r="164" spans="1:8" ht="12.75" customHeight="1">
      <c r="A164" s="22">
        <v>42131</v>
      </c>
      <c r="B164" s="22"/>
      <c r="C164" s="25">
        <f>ROUND(1.68,5)</f>
        <v>1.68</v>
      </c>
      <c r="D164" s="25">
        <f>F164</f>
        <v>178.44165</v>
      </c>
      <c r="E164" s="25">
        <f>F164</f>
        <v>178.44165</v>
      </c>
      <c r="F164" s="25">
        <f>ROUND(178.44165,5)</f>
        <v>178.44165</v>
      </c>
      <c r="G164" s="24"/>
      <c r="H164" s="36"/>
    </row>
    <row r="165" spans="1:8" ht="12.75" customHeight="1">
      <c r="A165" s="22">
        <v>42222</v>
      </c>
      <c r="B165" s="22"/>
      <c r="C165" s="25">
        <f>ROUND(1.68,5)</f>
        <v>1.68</v>
      </c>
      <c r="D165" s="25">
        <f>F165</f>
        <v>181.54728</v>
      </c>
      <c r="E165" s="25">
        <f>F165</f>
        <v>181.54728</v>
      </c>
      <c r="F165" s="25">
        <f>ROUND(181.54728,5)</f>
        <v>181.54728</v>
      </c>
      <c r="G165" s="24"/>
      <c r="H165" s="36"/>
    </row>
    <row r="166" spans="1:8" ht="12.75" customHeight="1">
      <c r="A166" s="22">
        <v>42313</v>
      </c>
      <c r="B166" s="22"/>
      <c r="C166" s="25">
        <f>ROUND(1.68,5)</f>
        <v>1.68</v>
      </c>
      <c r="D166" s="25">
        <f>F166</f>
        <v>184.86448</v>
      </c>
      <c r="E166" s="25">
        <f>F166</f>
        <v>184.86448</v>
      </c>
      <c r="F166" s="25">
        <f>ROUND(184.86448,5)</f>
        <v>184.86448</v>
      </c>
      <c r="G166" s="24"/>
      <c r="H166" s="36"/>
    </row>
    <row r="167" spans="1:8" ht="12.75" customHeight="1">
      <c r="A167" s="22">
        <v>42404</v>
      </c>
      <c r="B167" s="22"/>
      <c r="C167" s="25">
        <f>ROUND(1.68,5)</f>
        <v>1.68</v>
      </c>
      <c r="D167" s="25">
        <f>F167</f>
        <v>187.87181</v>
      </c>
      <c r="E167" s="25">
        <f>F167</f>
        <v>187.87181</v>
      </c>
      <c r="F167" s="25">
        <f>ROUND(187.87181,5)</f>
        <v>187.87181</v>
      </c>
      <c r="G167" s="24"/>
      <c r="H167" s="36"/>
    </row>
    <row r="168" spans="1:8" ht="12.75" customHeight="1">
      <c r="A168" s="22" t="s">
        <v>53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42040</v>
      </c>
      <c r="B169" s="22"/>
      <c r="C169" s="25">
        <f>ROUND(0.83,5)</f>
        <v>0.83</v>
      </c>
      <c r="D169" s="25">
        <f>F169</f>
        <v>133.01102</v>
      </c>
      <c r="E169" s="25">
        <f>F169</f>
        <v>133.01102</v>
      </c>
      <c r="F169" s="25">
        <f>ROUND(133.01102,5)</f>
        <v>133.01102</v>
      </c>
      <c r="G169" s="24"/>
      <c r="H169" s="36"/>
    </row>
    <row r="170" spans="1:8" ht="12.75" customHeight="1">
      <c r="A170" s="22">
        <v>42131</v>
      </c>
      <c r="B170" s="22"/>
      <c r="C170" s="25">
        <f>ROUND(0.83,5)</f>
        <v>0.83</v>
      </c>
      <c r="D170" s="25">
        <f>F170</f>
        <v>135.20581</v>
      </c>
      <c r="E170" s="25">
        <f>F170</f>
        <v>135.20581</v>
      </c>
      <c r="F170" s="25">
        <f>ROUND(135.20581,5)</f>
        <v>135.20581</v>
      </c>
      <c r="G170" s="24"/>
      <c r="H170" s="36"/>
    </row>
    <row r="171" spans="1:8" ht="12.75" customHeight="1">
      <c r="A171" s="22">
        <v>42222</v>
      </c>
      <c r="B171" s="22"/>
      <c r="C171" s="25">
        <f>ROUND(0.83,5)</f>
        <v>0.83</v>
      </c>
      <c r="D171" s="25">
        <f>F171</f>
        <v>137.50555</v>
      </c>
      <c r="E171" s="25">
        <f>F171</f>
        <v>137.50555</v>
      </c>
      <c r="F171" s="25">
        <f>ROUND(137.50555,5)</f>
        <v>137.50555</v>
      </c>
      <c r="G171" s="24"/>
      <c r="H171" s="36"/>
    </row>
    <row r="172" spans="1:8" ht="12.75" customHeight="1">
      <c r="A172" s="22">
        <v>42313</v>
      </c>
      <c r="B172" s="22"/>
      <c r="C172" s="25">
        <f>ROUND(0.83,5)</f>
        <v>0.83</v>
      </c>
      <c r="D172" s="25">
        <f>F172</f>
        <v>140.01772</v>
      </c>
      <c r="E172" s="25">
        <f>F172</f>
        <v>140.01772</v>
      </c>
      <c r="F172" s="25">
        <f>ROUND(140.01772,5)</f>
        <v>140.01772</v>
      </c>
      <c r="G172" s="24"/>
      <c r="H172" s="36"/>
    </row>
    <row r="173" spans="1:8" ht="12.75" customHeight="1">
      <c r="A173" s="22">
        <v>42404</v>
      </c>
      <c r="B173" s="22"/>
      <c r="C173" s="25">
        <f>ROUND(0.83,5)</f>
        <v>0.83</v>
      </c>
      <c r="D173" s="25">
        <f>F173</f>
        <v>142.29572</v>
      </c>
      <c r="E173" s="25">
        <f>F173</f>
        <v>142.29572</v>
      </c>
      <c r="F173" s="25">
        <f>ROUND(142.29572,5)</f>
        <v>142.29572</v>
      </c>
      <c r="G173" s="24"/>
      <c r="H173" s="36"/>
    </row>
    <row r="174" spans="1:8" ht="12.75" customHeight="1">
      <c r="A174" s="22" t="s">
        <v>54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42040</v>
      </c>
      <c r="B175" s="22"/>
      <c r="C175" s="25">
        <f>ROUND(1.61,5)</f>
        <v>1.61</v>
      </c>
      <c r="D175" s="25">
        <f>F175</f>
        <v>137.91451</v>
      </c>
      <c r="E175" s="25">
        <f>F175</f>
        <v>137.91451</v>
      </c>
      <c r="F175" s="25">
        <f>ROUND(137.91451,5)</f>
        <v>137.91451</v>
      </c>
      <c r="G175" s="24"/>
      <c r="H175" s="36"/>
    </row>
    <row r="176" spans="1:8" ht="12.75" customHeight="1">
      <c r="A176" s="22">
        <v>42131</v>
      </c>
      <c r="B176" s="22"/>
      <c r="C176" s="25">
        <f>ROUND(1.61,5)</f>
        <v>1.61</v>
      </c>
      <c r="D176" s="25">
        <f>F176</f>
        <v>140.19023</v>
      </c>
      <c r="E176" s="25">
        <f>F176</f>
        <v>140.19023</v>
      </c>
      <c r="F176" s="25">
        <f>ROUND(140.19023,5)</f>
        <v>140.19023</v>
      </c>
      <c r="G176" s="24"/>
      <c r="H176" s="36"/>
    </row>
    <row r="177" spans="1:8" ht="12.75" customHeight="1">
      <c r="A177" s="22">
        <v>42222</v>
      </c>
      <c r="B177" s="22"/>
      <c r="C177" s="25">
        <f>ROUND(1.61,5)</f>
        <v>1.61</v>
      </c>
      <c r="D177" s="25">
        <f>F177</f>
        <v>142.57154</v>
      </c>
      <c r="E177" s="25">
        <f>F177</f>
        <v>142.57154</v>
      </c>
      <c r="F177" s="25">
        <f>ROUND(142.57154,5)</f>
        <v>142.57154</v>
      </c>
      <c r="G177" s="24"/>
      <c r="H177" s="36"/>
    </row>
    <row r="178" spans="1:8" ht="12.75" customHeight="1">
      <c r="A178" s="22">
        <v>42313</v>
      </c>
      <c r="B178" s="22"/>
      <c r="C178" s="25">
        <f>ROUND(1.61,5)</f>
        <v>1.61</v>
      </c>
      <c r="D178" s="25">
        <f>F178</f>
        <v>145.17629</v>
      </c>
      <c r="E178" s="25">
        <f>F178</f>
        <v>145.17629</v>
      </c>
      <c r="F178" s="25">
        <f>ROUND(145.17629,5)</f>
        <v>145.17629</v>
      </c>
      <c r="G178" s="24"/>
      <c r="H178" s="36"/>
    </row>
    <row r="179" spans="1:8" ht="12.75" customHeight="1">
      <c r="A179" s="22">
        <v>42404</v>
      </c>
      <c r="B179" s="22"/>
      <c r="C179" s="25">
        <f>ROUND(1.61,5)</f>
        <v>1.61</v>
      </c>
      <c r="D179" s="25">
        <f>F179</f>
        <v>147.53819</v>
      </c>
      <c r="E179" s="25">
        <f>F179</f>
        <v>147.53819</v>
      </c>
      <c r="F179" s="25">
        <f>ROUND(147.53819,5)</f>
        <v>147.53819</v>
      </c>
      <c r="G179" s="24"/>
      <c r="H179" s="36"/>
    </row>
    <row r="180" spans="1:8" ht="12.75" customHeight="1">
      <c r="A180" s="22" t="s">
        <v>55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42040</v>
      </c>
      <c r="B181" s="22"/>
      <c r="C181" s="25">
        <f>ROUND(8.305,5)</f>
        <v>8.305</v>
      </c>
      <c r="D181" s="25">
        <f>F181</f>
        <v>8.36081</v>
      </c>
      <c r="E181" s="25">
        <f>F181</f>
        <v>8.36081</v>
      </c>
      <c r="F181" s="25">
        <f>ROUND(8.36081,5)</f>
        <v>8.36081</v>
      </c>
      <c r="G181" s="24"/>
      <c r="H181" s="36"/>
    </row>
    <row r="182" spans="1:8" ht="12.75" customHeight="1">
      <c r="A182" s="22">
        <v>42131</v>
      </c>
      <c r="B182" s="22"/>
      <c r="C182" s="25">
        <f>ROUND(8.305,5)</f>
        <v>8.305</v>
      </c>
      <c r="D182" s="25">
        <f>F182</f>
        <v>8.40705</v>
      </c>
      <c r="E182" s="25">
        <f>F182</f>
        <v>8.40705</v>
      </c>
      <c r="F182" s="25">
        <f>ROUND(8.40705,5)</f>
        <v>8.40705</v>
      </c>
      <c r="G182" s="24"/>
      <c r="H182" s="36"/>
    </row>
    <row r="183" spans="1:8" ht="12.75" customHeight="1">
      <c r="A183" s="22">
        <v>42222</v>
      </c>
      <c r="B183" s="22"/>
      <c r="C183" s="25">
        <f>ROUND(8.305,5)</f>
        <v>8.305</v>
      </c>
      <c r="D183" s="25">
        <f>F183</f>
        <v>8.44702</v>
      </c>
      <c r="E183" s="25">
        <f>F183</f>
        <v>8.44702</v>
      </c>
      <c r="F183" s="25">
        <f>ROUND(8.44702,5)</f>
        <v>8.44702</v>
      </c>
      <c r="G183" s="24"/>
      <c r="H183" s="36"/>
    </row>
    <row r="184" spans="1:8" ht="12.75" customHeight="1">
      <c r="A184" s="22">
        <v>42313</v>
      </c>
      <c r="B184" s="22"/>
      <c r="C184" s="25">
        <f>ROUND(8.305,5)</f>
        <v>8.305</v>
      </c>
      <c r="D184" s="25">
        <f>F184</f>
        <v>8.47546</v>
      </c>
      <c r="E184" s="25">
        <f>F184</f>
        <v>8.47546</v>
      </c>
      <c r="F184" s="25">
        <f>ROUND(8.47546,5)</f>
        <v>8.47546</v>
      </c>
      <c r="G184" s="24"/>
      <c r="H184" s="36"/>
    </row>
    <row r="185" spans="1:8" ht="12.75" customHeight="1">
      <c r="A185" s="22">
        <v>42404</v>
      </c>
      <c r="B185" s="22"/>
      <c r="C185" s="25">
        <f>ROUND(8.305,5)</f>
        <v>8.305</v>
      </c>
      <c r="D185" s="25">
        <f>F185</f>
        <v>8.53319</v>
      </c>
      <c r="E185" s="25">
        <f>F185</f>
        <v>8.53319</v>
      </c>
      <c r="F185" s="25">
        <f>ROUND(8.53319,5)</f>
        <v>8.53319</v>
      </c>
      <c r="G185" s="24"/>
      <c r="H185" s="36"/>
    </row>
    <row r="186" spans="1:8" ht="12.75" customHeight="1">
      <c r="A186" s="22" t="s">
        <v>56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42040</v>
      </c>
      <c r="B187" s="22"/>
      <c r="C187" s="25">
        <f>ROUND(8.555,5)</f>
        <v>8.555</v>
      </c>
      <c r="D187" s="25">
        <f>F187</f>
        <v>8.60718</v>
      </c>
      <c r="E187" s="25">
        <f>F187</f>
        <v>8.60718</v>
      </c>
      <c r="F187" s="25">
        <f>ROUND(8.60718,5)</f>
        <v>8.60718</v>
      </c>
      <c r="G187" s="24"/>
      <c r="H187" s="36"/>
    </row>
    <row r="188" spans="1:8" ht="12.75" customHeight="1">
      <c r="A188" s="22">
        <v>42131</v>
      </c>
      <c r="B188" s="22"/>
      <c r="C188" s="25">
        <f>ROUND(8.555,5)</f>
        <v>8.555</v>
      </c>
      <c r="D188" s="25">
        <f>F188</f>
        <v>8.65135</v>
      </c>
      <c r="E188" s="25">
        <f>F188</f>
        <v>8.65135</v>
      </c>
      <c r="F188" s="25">
        <f>ROUND(8.65135,5)</f>
        <v>8.65135</v>
      </c>
      <c r="G188" s="24"/>
      <c r="H188" s="36"/>
    </row>
    <row r="189" spans="1:8" ht="12.75" customHeight="1">
      <c r="A189" s="22">
        <v>42222</v>
      </c>
      <c r="B189" s="22"/>
      <c r="C189" s="25">
        <f>ROUND(8.555,5)</f>
        <v>8.555</v>
      </c>
      <c r="D189" s="25">
        <f>F189</f>
        <v>8.69025</v>
      </c>
      <c r="E189" s="25">
        <f>F189</f>
        <v>8.69025</v>
      </c>
      <c r="F189" s="25">
        <f>ROUND(8.69025,5)</f>
        <v>8.69025</v>
      </c>
      <c r="G189" s="24"/>
      <c r="H189" s="36"/>
    </row>
    <row r="190" spans="1:8" ht="12.75" customHeight="1">
      <c r="A190" s="22">
        <v>42313</v>
      </c>
      <c r="B190" s="22"/>
      <c r="C190" s="25">
        <f>ROUND(8.555,5)</f>
        <v>8.555</v>
      </c>
      <c r="D190" s="25">
        <f>F190</f>
        <v>8.7193</v>
      </c>
      <c r="E190" s="25">
        <f>F190</f>
        <v>8.7193</v>
      </c>
      <c r="F190" s="25">
        <f>ROUND(8.7193,5)</f>
        <v>8.7193</v>
      </c>
      <c r="G190" s="24"/>
      <c r="H190" s="36"/>
    </row>
    <row r="191" spans="1:8" ht="12.75" customHeight="1">
      <c r="A191" s="22">
        <v>42404</v>
      </c>
      <c r="B191" s="22"/>
      <c r="C191" s="25">
        <f>ROUND(8.555,5)</f>
        <v>8.555</v>
      </c>
      <c r="D191" s="25">
        <f>F191</f>
        <v>8.77264</v>
      </c>
      <c r="E191" s="25">
        <f>F191</f>
        <v>8.77264</v>
      </c>
      <c r="F191" s="25">
        <f>ROUND(8.77264,5)</f>
        <v>8.77264</v>
      </c>
      <c r="G191" s="24"/>
      <c r="H191" s="36"/>
    </row>
    <row r="192" spans="1:8" ht="12.75" customHeight="1">
      <c r="A192" s="22" t="s">
        <v>57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42040</v>
      </c>
      <c r="B193" s="22"/>
      <c r="C193" s="25">
        <f>ROUND(8.615,5)</f>
        <v>8.615</v>
      </c>
      <c r="D193" s="25">
        <f>F193</f>
        <v>8.66858</v>
      </c>
      <c r="E193" s="25">
        <f>F193</f>
        <v>8.66858</v>
      </c>
      <c r="F193" s="25">
        <f>ROUND(8.66858,5)</f>
        <v>8.66858</v>
      </c>
      <c r="G193" s="24"/>
      <c r="H193" s="36"/>
    </row>
    <row r="194" spans="1:8" ht="12.75" customHeight="1">
      <c r="A194" s="22">
        <v>42131</v>
      </c>
      <c r="B194" s="22"/>
      <c r="C194" s="25">
        <f>ROUND(8.615,5)</f>
        <v>8.615</v>
      </c>
      <c r="D194" s="25">
        <f>F194</f>
        <v>8.71419</v>
      </c>
      <c r="E194" s="25">
        <f>F194</f>
        <v>8.71419</v>
      </c>
      <c r="F194" s="25">
        <f>ROUND(8.71419,5)</f>
        <v>8.71419</v>
      </c>
      <c r="G194" s="24"/>
      <c r="H194" s="36"/>
    </row>
    <row r="195" spans="1:8" ht="12.75" customHeight="1">
      <c r="A195" s="22">
        <v>42222</v>
      </c>
      <c r="B195" s="22"/>
      <c r="C195" s="25">
        <f>ROUND(8.615,5)</f>
        <v>8.615</v>
      </c>
      <c r="D195" s="25">
        <f>F195</f>
        <v>8.75461</v>
      </c>
      <c r="E195" s="25">
        <f>F195</f>
        <v>8.75461</v>
      </c>
      <c r="F195" s="25">
        <f>ROUND(8.75461,5)</f>
        <v>8.75461</v>
      </c>
      <c r="G195" s="24"/>
      <c r="H195" s="36"/>
    </row>
    <row r="196" spans="1:8" ht="12.75" customHeight="1">
      <c r="A196" s="22">
        <v>42313</v>
      </c>
      <c r="B196" s="22"/>
      <c r="C196" s="25">
        <f>ROUND(8.615,5)</f>
        <v>8.615</v>
      </c>
      <c r="D196" s="25">
        <f>F196</f>
        <v>8.78513</v>
      </c>
      <c r="E196" s="25">
        <f>F196</f>
        <v>8.78513</v>
      </c>
      <c r="F196" s="25">
        <f>ROUND(8.78513,5)</f>
        <v>8.78513</v>
      </c>
      <c r="G196" s="24"/>
      <c r="H196" s="36"/>
    </row>
    <row r="197" spans="1:8" ht="12.75" customHeight="1">
      <c r="A197" s="22">
        <v>42404</v>
      </c>
      <c r="B197" s="22"/>
      <c r="C197" s="25">
        <f>ROUND(8.615,5)</f>
        <v>8.615</v>
      </c>
      <c r="D197" s="25">
        <f>F197</f>
        <v>8.84011</v>
      </c>
      <c r="E197" s="25">
        <f>F197</f>
        <v>8.84011</v>
      </c>
      <c r="F197" s="25">
        <f>ROUND(8.84011,5)</f>
        <v>8.84011</v>
      </c>
      <c r="G197" s="24"/>
      <c r="H197" s="36"/>
    </row>
    <row r="198" spans="1:8" ht="12.75" customHeight="1">
      <c r="A198" s="22" t="s">
        <v>58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41985</v>
      </c>
      <c r="B199" s="22"/>
      <c r="C199" s="27">
        <f>ROUND(-10.9025706728237,4)</f>
        <v>-10.9026</v>
      </c>
      <c r="D199" s="27">
        <f>F199</f>
        <v>-10.9594</v>
      </c>
      <c r="E199" s="27">
        <f>F199</f>
        <v>-10.9594</v>
      </c>
      <c r="F199" s="27">
        <f>ROUND(-10.9594,4)</f>
        <v>-10.9594</v>
      </c>
      <c r="G199" s="24"/>
      <c r="H199" s="36"/>
    </row>
    <row r="200" spans="1:8" ht="12.75" customHeight="1">
      <c r="A200" s="22" t="s">
        <v>59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41985</v>
      </c>
      <c r="B201" s="22"/>
      <c r="C201" s="27">
        <f>ROUND(1137.07589460398,4)</f>
        <v>1137.0759</v>
      </c>
      <c r="D201" s="27">
        <f>F201</f>
        <v>1142.9996</v>
      </c>
      <c r="E201" s="27">
        <f>F201</f>
        <v>1142.9996</v>
      </c>
      <c r="F201" s="27">
        <f>ROUND(1142.9996,4)</f>
        <v>1142.9996</v>
      </c>
      <c r="G201" s="24"/>
      <c r="H201" s="36"/>
    </row>
    <row r="202" spans="1:8" ht="12.75" customHeight="1">
      <c r="A202" s="22" t="s">
        <v>60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41985</v>
      </c>
      <c r="B203" s="22"/>
      <c r="C203" s="27">
        <f>ROUND(1037.82768254011,4)</f>
        <v>1037.8277</v>
      </c>
      <c r="D203" s="27">
        <f>F203</f>
        <v>1043.2343</v>
      </c>
      <c r="E203" s="27">
        <f>F203</f>
        <v>1043.2343</v>
      </c>
      <c r="F203" s="27">
        <f>ROUND(1043.2343,4)</f>
        <v>1043.2343</v>
      </c>
      <c r="G203" s="24"/>
      <c r="H203" s="36"/>
    </row>
    <row r="204" spans="1:8" ht="12.75" customHeight="1">
      <c r="A204" s="22" t="s">
        <v>61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41985</v>
      </c>
      <c r="B205" s="22"/>
      <c r="C205" s="27">
        <f>ROUND(1137.07589460398,4)</f>
        <v>1137.0759</v>
      </c>
      <c r="D205" s="27">
        <f>F205</f>
        <v>1142.9996</v>
      </c>
      <c r="E205" s="27">
        <f>F205</f>
        <v>1142.9996</v>
      </c>
      <c r="F205" s="27">
        <f>ROUND(1142.9996,4)</f>
        <v>1142.9996</v>
      </c>
      <c r="G205" s="24"/>
      <c r="H205" s="36"/>
    </row>
    <row r="206" spans="1:8" ht="12.75" customHeight="1">
      <c r="A206" s="22" t="s">
        <v>62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41985</v>
      </c>
      <c r="B207" s="22"/>
      <c r="C207" s="27">
        <f>ROUND(-228.716716529286,4)</f>
        <v>-228.7167</v>
      </c>
      <c r="D207" s="27">
        <f>F207</f>
        <v>-229.9082</v>
      </c>
      <c r="E207" s="27">
        <f>F207</f>
        <v>-229.9082</v>
      </c>
      <c r="F207" s="27">
        <f>ROUND(-229.9082,4)</f>
        <v>-229.9082</v>
      </c>
      <c r="G207" s="24"/>
      <c r="H207" s="36"/>
    </row>
    <row r="208" spans="1:8" ht="12.75" customHeight="1">
      <c r="A208" s="22" t="s">
        <v>63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41985</v>
      </c>
      <c r="B209" s="22"/>
      <c r="C209" s="27">
        <f>ROUND(944.003102071145,4)</f>
        <v>944.0031</v>
      </c>
      <c r="D209" s="27">
        <f>F209</f>
        <v>948.9209</v>
      </c>
      <c r="E209" s="27">
        <f>F209</f>
        <v>948.9209</v>
      </c>
      <c r="F209" s="27">
        <f>ROUND(948.9209,4)</f>
        <v>948.9209</v>
      </c>
      <c r="G209" s="24"/>
      <c r="H209" s="36"/>
    </row>
    <row r="210" spans="1:8" ht="12.75" customHeight="1">
      <c r="A210" s="22" t="s">
        <v>64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41975</v>
      </c>
      <c r="B211" s="22"/>
      <c r="C211" s="27">
        <f>ROUND(10000,4)</f>
        <v>10000</v>
      </c>
      <c r="D211" s="27">
        <f>F211</f>
        <v>10000</v>
      </c>
      <c r="E211" s="27">
        <f>F211</f>
        <v>10000</v>
      </c>
      <c r="F211" s="27">
        <f>ROUND(10000,4)</f>
        <v>10000</v>
      </c>
      <c r="G211" s="24"/>
      <c r="H211" s="36"/>
    </row>
    <row r="212" spans="1:8" ht="12.75" customHeight="1">
      <c r="A212" s="22" t="s">
        <v>65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41962</v>
      </c>
      <c r="B213" s="22"/>
      <c r="C213" s="27">
        <f>ROUND(79.0071679490471,4)</f>
        <v>79.0072</v>
      </c>
      <c r="D213" s="27">
        <f>F213</f>
        <v>79.1027</v>
      </c>
      <c r="E213" s="27">
        <f>F213</f>
        <v>79.1027</v>
      </c>
      <c r="F213" s="27">
        <f>ROUND(79.1027,4)</f>
        <v>79.1027</v>
      </c>
      <c r="G213" s="24"/>
      <c r="H213" s="36"/>
    </row>
    <row r="214" spans="1:8" ht="12.75" customHeight="1">
      <c r="A214" s="22" t="s">
        <v>66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41964</v>
      </c>
      <c r="B215" s="22"/>
      <c r="C215" s="27">
        <f>ROUND(9.76344901,4)</f>
        <v>9.7634</v>
      </c>
      <c r="D215" s="27">
        <f>F215</f>
        <v>9.7693</v>
      </c>
      <c r="E215" s="27">
        <f>F215</f>
        <v>9.7693</v>
      </c>
      <c r="F215" s="27">
        <f>ROUND(9.7693,4)</f>
        <v>9.7693</v>
      </c>
      <c r="G215" s="24"/>
      <c r="H215" s="36"/>
    </row>
    <row r="216" spans="1:8" ht="12.75" customHeight="1">
      <c r="A216" s="22" t="s">
        <v>67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41969</v>
      </c>
      <c r="B217" s="22"/>
      <c r="C217" s="27">
        <f>ROUND(13.94362508,4)</f>
        <v>13.9436</v>
      </c>
      <c r="D217" s="27">
        <f>F217</f>
        <v>13.9715</v>
      </c>
      <c r="E217" s="27">
        <f>F217</f>
        <v>13.9715</v>
      </c>
      <c r="F217" s="27">
        <f>ROUND(13.9715,4)</f>
        <v>13.9715</v>
      </c>
      <c r="G217" s="24"/>
      <c r="H217" s="36"/>
    </row>
    <row r="218" spans="1:8" ht="12.75" customHeight="1">
      <c r="A218" s="22" t="s">
        <v>68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42027</v>
      </c>
      <c r="B219" s="22"/>
      <c r="C219" s="27">
        <f>ROUND(17.69716116,4)</f>
        <v>17.6972</v>
      </c>
      <c r="D219" s="27">
        <f>F219</f>
        <v>17.901</v>
      </c>
      <c r="E219" s="27">
        <f>F219</f>
        <v>17.901</v>
      </c>
      <c r="F219" s="27">
        <f>ROUND(17.901,4)</f>
        <v>17.901</v>
      </c>
      <c r="G219" s="24"/>
      <c r="H219" s="36"/>
    </row>
    <row r="220" spans="1:8" ht="12.75" customHeight="1">
      <c r="A220" s="22" t="s">
        <v>69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41955</v>
      </c>
      <c r="B221" s="22"/>
      <c r="C221" s="27">
        <f>ROUND(11.1979,4)</f>
        <v>11.1979</v>
      </c>
      <c r="D221" s="27">
        <f>F221</f>
        <v>11.1979</v>
      </c>
      <c r="E221" s="27">
        <f>F221</f>
        <v>11.1979</v>
      </c>
      <c r="F221" s="27">
        <f>ROUND(11.1979,4)</f>
        <v>11.1979</v>
      </c>
      <c r="G221" s="24"/>
      <c r="H221" s="36"/>
    </row>
    <row r="222" spans="1:8" ht="12.75" customHeight="1">
      <c r="A222" s="22">
        <v>41961</v>
      </c>
      <c r="B222" s="22"/>
      <c r="C222" s="27">
        <f>ROUND(11.1979,4)</f>
        <v>11.1979</v>
      </c>
      <c r="D222" s="27">
        <f>F222</f>
        <v>11.2049</v>
      </c>
      <c r="E222" s="27">
        <f>F222</f>
        <v>11.2049</v>
      </c>
      <c r="F222" s="27">
        <f>ROUND(11.2049,4)</f>
        <v>11.2049</v>
      </c>
      <c r="G222" s="24"/>
      <c r="H222" s="36"/>
    </row>
    <row r="223" spans="1:8" ht="12.75" customHeight="1">
      <c r="A223" s="22">
        <v>41962</v>
      </c>
      <c r="B223" s="22"/>
      <c r="C223" s="27">
        <f>ROUND(11.1979,4)</f>
        <v>11.1979</v>
      </c>
      <c r="D223" s="27">
        <f>F223</f>
        <v>11.2067</v>
      </c>
      <c r="E223" s="27">
        <f>F223</f>
        <v>11.2067</v>
      </c>
      <c r="F223" s="27">
        <f>ROUND(11.2067,4)</f>
        <v>11.2067</v>
      </c>
      <c r="G223" s="24"/>
      <c r="H223" s="36"/>
    </row>
    <row r="224" spans="1:8" ht="12.75" customHeight="1">
      <c r="A224" s="22">
        <v>41968</v>
      </c>
      <c r="B224" s="22"/>
      <c r="C224" s="27">
        <f>ROUND(11.1979,4)</f>
        <v>11.1979</v>
      </c>
      <c r="D224" s="27">
        <f>F224</f>
        <v>11.2176</v>
      </c>
      <c r="E224" s="27">
        <f>F224</f>
        <v>11.2176</v>
      </c>
      <c r="F224" s="27">
        <f>ROUND(11.2176,4)</f>
        <v>11.2176</v>
      </c>
      <c r="G224" s="24"/>
      <c r="H224" s="36"/>
    </row>
    <row r="225" spans="1:8" ht="12.75" customHeight="1">
      <c r="A225" s="22">
        <v>41969</v>
      </c>
      <c r="B225" s="22"/>
      <c r="C225" s="27">
        <f>ROUND(11.1979,4)</f>
        <v>11.1979</v>
      </c>
      <c r="D225" s="27">
        <f>F225</f>
        <v>11.2195</v>
      </c>
      <c r="E225" s="27">
        <f>F225</f>
        <v>11.2195</v>
      </c>
      <c r="F225" s="27">
        <f>ROUND(11.2195,4)</f>
        <v>11.2195</v>
      </c>
      <c r="G225" s="24"/>
      <c r="H225" s="36"/>
    </row>
    <row r="226" spans="1:8" ht="12.75" customHeight="1">
      <c r="A226" s="22">
        <v>41971</v>
      </c>
      <c r="B226" s="22"/>
      <c r="C226" s="27">
        <f>ROUND(11.1979,4)</f>
        <v>11.1979</v>
      </c>
      <c r="D226" s="27">
        <f>F226</f>
        <v>11.2232</v>
      </c>
      <c r="E226" s="27">
        <f>F226</f>
        <v>11.2232</v>
      </c>
      <c r="F226" s="27">
        <f>ROUND(11.2232,4)</f>
        <v>11.2232</v>
      </c>
      <c r="G226" s="24"/>
      <c r="H226" s="36"/>
    </row>
    <row r="227" spans="1:8" ht="12.75" customHeight="1">
      <c r="A227" s="22">
        <v>41975</v>
      </c>
      <c r="B227" s="22"/>
      <c r="C227" s="27">
        <f>ROUND(11.1979,4)</f>
        <v>11.1979</v>
      </c>
      <c r="D227" s="27">
        <f>F227</f>
        <v>11.2305</v>
      </c>
      <c r="E227" s="27">
        <f>F227</f>
        <v>11.2305</v>
      </c>
      <c r="F227" s="27">
        <f>ROUND(11.2305,4)</f>
        <v>11.2305</v>
      </c>
      <c r="G227" s="24"/>
      <c r="H227" s="36"/>
    </row>
    <row r="228" spans="1:8" ht="12.75" customHeight="1">
      <c r="A228" s="22">
        <v>41983</v>
      </c>
      <c r="B228" s="22"/>
      <c r="C228" s="27">
        <f>ROUND(11.1979,4)</f>
        <v>11.1979</v>
      </c>
      <c r="D228" s="27">
        <f>F228</f>
        <v>11.2453</v>
      </c>
      <c r="E228" s="27">
        <f>F228</f>
        <v>11.2453</v>
      </c>
      <c r="F228" s="27">
        <f>ROUND(11.2453,4)</f>
        <v>11.2453</v>
      </c>
      <c r="G228" s="24"/>
      <c r="H228" s="36"/>
    </row>
    <row r="229" spans="1:8" ht="12.75" customHeight="1">
      <c r="A229" s="22">
        <v>41984</v>
      </c>
      <c r="B229" s="22"/>
      <c r="C229" s="27">
        <f>ROUND(11.1979,4)</f>
        <v>11.1979</v>
      </c>
      <c r="D229" s="27">
        <f>F229</f>
        <v>11.2471</v>
      </c>
      <c r="E229" s="27">
        <f>F229</f>
        <v>11.2471</v>
      </c>
      <c r="F229" s="27">
        <f>ROUND(11.2471,4)</f>
        <v>11.2471</v>
      </c>
      <c r="G229" s="24"/>
      <c r="H229" s="36"/>
    </row>
    <row r="230" spans="1:8" ht="12.75" customHeight="1">
      <c r="A230" s="22">
        <v>41988</v>
      </c>
      <c r="B230" s="22"/>
      <c r="C230" s="27">
        <f>ROUND(11.1979,4)</f>
        <v>11.1979</v>
      </c>
      <c r="D230" s="27">
        <f>F230</f>
        <v>11.2545</v>
      </c>
      <c r="E230" s="27">
        <f>F230</f>
        <v>11.2545</v>
      </c>
      <c r="F230" s="27">
        <f>ROUND(11.2545,4)</f>
        <v>11.2545</v>
      </c>
      <c r="G230" s="24"/>
      <c r="H230" s="36"/>
    </row>
    <row r="231" spans="1:8" ht="12.75" customHeight="1">
      <c r="A231" s="22">
        <v>41992</v>
      </c>
      <c r="B231" s="22"/>
      <c r="C231" s="27">
        <f>ROUND(11.1979,4)</f>
        <v>11.1979</v>
      </c>
      <c r="D231" s="27">
        <f>F231</f>
        <v>11.2627</v>
      </c>
      <c r="E231" s="27">
        <f>F231</f>
        <v>11.2627</v>
      </c>
      <c r="F231" s="27">
        <f>ROUND(11.2627,4)</f>
        <v>11.2627</v>
      </c>
      <c r="G231" s="24"/>
      <c r="H231" s="36"/>
    </row>
    <row r="232" spans="1:8" ht="12.75" customHeight="1">
      <c r="A232" s="22">
        <v>41996</v>
      </c>
      <c r="B232" s="22"/>
      <c r="C232" s="27">
        <f>ROUND(11.1979,4)</f>
        <v>11.1979</v>
      </c>
      <c r="D232" s="27">
        <f>F232</f>
        <v>11.2709</v>
      </c>
      <c r="E232" s="27">
        <f>F232</f>
        <v>11.2709</v>
      </c>
      <c r="F232" s="27">
        <f>ROUND(11.2709,4)</f>
        <v>11.2709</v>
      </c>
      <c r="G232" s="24"/>
      <c r="H232" s="36"/>
    </row>
    <row r="233" spans="1:8" ht="12.75" customHeight="1">
      <c r="A233" s="22">
        <v>42032</v>
      </c>
      <c r="B233" s="22"/>
      <c r="C233" s="27">
        <f>ROUND(11.1979,4)</f>
        <v>11.1979</v>
      </c>
      <c r="D233" s="27">
        <f>F233</f>
        <v>11.3424</v>
      </c>
      <c r="E233" s="27">
        <f>F233</f>
        <v>11.3424</v>
      </c>
      <c r="F233" s="27">
        <f>ROUND(11.3424,4)</f>
        <v>11.3424</v>
      </c>
      <c r="G233" s="24"/>
      <c r="H233" s="36"/>
    </row>
    <row r="234" spans="1:8" ht="12.75" customHeight="1">
      <c r="A234" s="22">
        <v>42060</v>
      </c>
      <c r="B234" s="22"/>
      <c r="C234" s="27">
        <f>ROUND(11.1979,4)</f>
        <v>11.1979</v>
      </c>
      <c r="D234" s="27">
        <f>F234</f>
        <v>11.3956</v>
      </c>
      <c r="E234" s="27">
        <f>F234</f>
        <v>11.3956</v>
      </c>
      <c r="F234" s="27">
        <f>ROUND(11.3956,4)</f>
        <v>11.3956</v>
      </c>
      <c r="G234" s="24"/>
      <c r="H234" s="36"/>
    </row>
    <row r="235" spans="1:8" ht="12.75" customHeight="1">
      <c r="A235" s="22">
        <v>42061</v>
      </c>
      <c r="B235" s="22"/>
      <c r="C235" s="27">
        <f>ROUND(11.1979,4)</f>
        <v>11.1979</v>
      </c>
      <c r="D235" s="27">
        <f>F235</f>
        <v>11.3976</v>
      </c>
      <c r="E235" s="27">
        <f>F235</f>
        <v>11.3976</v>
      </c>
      <c r="F235" s="27">
        <f>ROUND(11.3976,4)</f>
        <v>11.3976</v>
      </c>
      <c r="G235" s="24"/>
      <c r="H235" s="36"/>
    </row>
    <row r="236" spans="1:8" ht="12.75" customHeight="1">
      <c r="A236" s="22">
        <v>42062</v>
      </c>
      <c r="B236" s="22"/>
      <c r="C236" s="27">
        <f>ROUND(11.1979,4)</f>
        <v>11.1979</v>
      </c>
      <c r="D236" s="27">
        <f>F236</f>
        <v>11.3996</v>
      </c>
      <c r="E236" s="27">
        <f>F236</f>
        <v>11.3996</v>
      </c>
      <c r="F236" s="27">
        <f>ROUND(11.3996,4)</f>
        <v>11.3996</v>
      </c>
      <c r="G236" s="24"/>
      <c r="H236" s="36"/>
    </row>
    <row r="237" spans="1:8" ht="12.75" customHeight="1">
      <c r="A237" s="22">
        <v>42090</v>
      </c>
      <c r="B237" s="22"/>
      <c r="C237" s="27">
        <f>ROUND(11.1979,4)</f>
        <v>11.1979</v>
      </c>
      <c r="D237" s="27">
        <f>F237</f>
        <v>11.4549</v>
      </c>
      <c r="E237" s="27">
        <f>F237</f>
        <v>11.4549</v>
      </c>
      <c r="F237" s="27">
        <f>ROUND(11.4549,4)</f>
        <v>11.4549</v>
      </c>
      <c r="G237" s="24"/>
      <c r="H237" s="36"/>
    </row>
    <row r="238" spans="1:8" ht="12.75" customHeight="1">
      <c r="A238" s="22">
        <v>42095</v>
      </c>
      <c r="B238" s="22"/>
      <c r="C238" s="27">
        <f>ROUND(11.1979,4)</f>
        <v>11.1979</v>
      </c>
      <c r="D238" s="27">
        <f>F238</f>
        <v>11.4647</v>
      </c>
      <c r="E238" s="27">
        <f>F238</f>
        <v>11.4647</v>
      </c>
      <c r="F238" s="27">
        <f>ROUND(11.4647,4)</f>
        <v>11.4647</v>
      </c>
      <c r="G238" s="24"/>
      <c r="H238" s="36"/>
    </row>
    <row r="239" spans="1:8" ht="12.75" customHeight="1">
      <c r="A239" s="22">
        <v>42122</v>
      </c>
      <c r="B239" s="22"/>
      <c r="C239" s="27">
        <f>ROUND(11.1979,4)</f>
        <v>11.1979</v>
      </c>
      <c r="D239" s="27">
        <f>F239</f>
        <v>11.5181</v>
      </c>
      <c r="E239" s="27">
        <f>F239</f>
        <v>11.5181</v>
      </c>
      <c r="F239" s="27">
        <f>ROUND(11.5181,4)</f>
        <v>11.5181</v>
      </c>
      <c r="G239" s="24"/>
      <c r="H239" s="36"/>
    </row>
    <row r="240" spans="1:8" ht="12.75" customHeight="1">
      <c r="A240" s="22">
        <v>42151</v>
      </c>
      <c r="B240" s="22"/>
      <c r="C240" s="27">
        <f>ROUND(11.1979,4)</f>
        <v>11.1979</v>
      </c>
      <c r="D240" s="27">
        <f>F240</f>
        <v>11.576</v>
      </c>
      <c r="E240" s="27">
        <f>F240</f>
        <v>11.576</v>
      </c>
      <c r="F240" s="27">
        <f>ROUND(11.576,4)</f>
        <v>11.576</v>
      </c>
      <c r="G240" s="24"/>
      <c r="H240" s="36"/>
    </row>
    <row r="241" spans="1:8" ht="12.75" customHeight="1">
      <c r="A241" s="22">
        <v>42181</v>
      </c>
      <c r="B241" s="22"/>
      <c r="C241" s="27">
        <f>ROUND(11.1979,4)</f>
        <v>11.1979</v>
      </c>
      <c r="D241" s="27">
        <f>F241</f>
        <v>11.6368</v>
      </c>
      <c r="E241" s="27">
        <f>F241</f>
        <v>11.6368</v>
      </c>
      <c r="F241" s="27">
        <f>ROUND(11.6368,4)</f>
        <v>11.6368</v>
      </c>
      <c r="G241" s="24"/>
      <c r="H241" s="36"/>
    </row>
    <row r="242" spans="1:8" ht="12.75" customHeight="1">
      <c r="A242" s="22">
        <v>42214</v>
      </c>
      <c r="B242" s="22"/>
      <c r="C242" s="27">
        <f>ROUND(11.1979,4)</f>
        <v>11.1979</v>
      </c>
      <c r="D242" s="27">
        <f>F242</f>
        <v>11.7036</v>
      </c>
      <c r="E242" s="27">
        <f>F242</f>
        <v>11.7036</v>
      </c>
      <c r="F242" s="27">
        <f>ROUND(11.7036,4)</f>
        <v>11.7036</v>
      </c>
      <c r="G242" s="24"/>
      <c r="H242" s="36"/>
    </row>
    <row r="243" spans="1:8" ht="12.75" customHeight="1">
      <c r="A243" s="22">
        <v>42243</v>
      </c>
      <c r="B243" s="22"/>
      <c r="C243" s="27">
        <f>ROUND(11.1979,4)</f>
        <v>11.1979</v>
      </c>
      <c r="D243" s="27">
        <f>F243</f>
        <v>11.7633</v>
      </c>
      <c r="E243" s="27">
        <f>F243</f>
        <v>11.7633</v>
      </c>
      <c r="F243" s="27">
        <f>ROUND(11.7633,4)</f>
        <v>11.7633</v>
      </c>
      <c r="G243" s="24"/>
      <c r="H243" s="36"/>
    </row>
    <row r="244" spans="1:8" ht="12.75" customHeight="1">
      <c r="A244" s="22">
        <v>42275</v>
      </c>
      <c r="B244" s="22"/>
      <c r="C244" s="27">
        <f>ROUND(11.1979,4)</f>
        <v>11.1979</v>
      </c>
      <c r="D244" s="27">
        <f>F244</f>
        <v>11.8303</v>
      </c>
      <c r="E244" s="27">
        <f>F244</f>
        <v>11.8303</v>
      </c>
      <c r="F244" s="27">
        <f>ROUND(11.8303,4)</f>
        <v>11.8303</v>
      </c>
      <c r="G244" s="24"/>
      <c r="H244" s="36"/>
    </row>
    <row r="245" spans="1:8" ht="12.75" customHeight="1">
      <c r="A245" s="22">
        <v>42305</v>
      </c>
      <c r="B245" s="22"/>
      <c r="C245" s="27">
        <f>ROUND(11.1979,4)</f>
        <v>11.1979</v>
      </c>
      <c r="D245" s="27">
        <f>F245</f>
        <v>11.8932</v>
      </c>
      <c r="E245" s="27">
        <f>F245</f>
        <v>11.8932</v>
      </c>
      <c r="F245" s="27">
        <f>ROUND(11.8932,4)</f>
        <v>11.8932</v>
      </c>
      <c r="G245" s="24"/>
      <c r="H245" s="36"/>
    </row>
    <row r="246" spans="1:8" ht="12.75" customHeight="1">
      <c r="A246" s="22">
        <v>42333</v>
      </c>
      <c r="B246" s="22"/>
      <c r="C246" s="27">
        <f>ROUND(11.1979,4)</f>
        <v>11.1979</v>
      </c>
      <c r="D246" s="27">
        <f>F246</f>
        <v>11.9518</v>
      </c>
      <c r="E246" s="27">
        <f>F246</f>
        <v>11.9518</v>
      </c>
      <c r="F246" s="27">
        <f>ROUND(11.9518,4)</f>
        <v>11.9518</v>
      </c>
      <c r="G246" s="24"/>
      <c r="H246" s="36"/>
    </row>
    <row r="247" spans="1:8" ht="12.75" customHeight="1">
      <c r="A247" s="22">
        <v>42359</v>
      </c>
      <c r="B247" s="22"/>
      <c r="C247" s="27">
        <f>ROUND(11.1979,4)</f>
        <v>11.1979</v>
      </c>
      <c r="D247" s="27">
        <f>F247</f>
        <v>12.0063</v>
      </c>
      <c r="E247" s="27">
        <f>F247</f>
        <v>12.0063</v>
      </c>
      <c r="F247" s="27">
        <f>ROUND(12.0063,4)</f>
        <v>12.0063</v>
      </c>
      <c r="G247" s="24"/>
      <c r="H247" s="36"/>
    </row>
    <row r="248" spans="1:8" ht="12.75" customHeight="1">
      <c r="A248" s="22" t="s">
        <v>70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41985</v>
      </c>
      <c r="B249" s="22"/>
      <c r="C249" s="27">
        <f>ROUND(1.2452,4)</f>
        <v>1.2452</v>
      </c>
      <c r="D249" s="27">
        <f>F249</f>
        <v>1.2454</v>
      </c>
      <c r="E249" s="27">
        <f>F249</f>
        <v>1.2454</v>
      </c>
      <c r="F249" s="27">
        <f>ROUND(1.2454,4)</f>
        <v>1.2454</v>
      </c>
      <c r="G249" s="24"/>
      <c r="H249" s="36"/>
    </row>
    <row r="250" spans="1:8" ht="12.75" customHeight="1">
      <c r="A250" s="22">
        <v>42079</v>
      </c>
      <c r="B250" s="22"/>
      <c r="C250" s="27">
        <f>ROUND(1.2452,4)</f>
        <v>1.2452</v>
      </c>
      <c r="D250" s="27">
        <f>F250</f>
        <v>1.2463</v>
      </c>
      <c r="E250" s="27">
        <f>F250</f>
        <v>1.2463</v>
      </c>
      <c r="F250" s="27">
        <f>ROUND(1.2463,4)</f>
        <v>1.2463</v>
      </c>
      <c r="G250" s="24"/>
      <c r="H250" s="36"/>
    </row>
    <row r="251" spans="1:8" ht="12.75" customHeight="1">
      <c r="A251" s="22">
        <v>42167</v>
      </c>
      <c r="B251" s="22"/>
      <c r="C251" s="27">
        <f>ROUND(1.2452,4)</f>
        <v>1.2452</v>
      </c>
      <c r="D251" s="27">
        <f>F251</f>
        <v>1.2472</v>
      </c>
      <c r="E251" s="27">
        <f>F251</f>
        <v>1.2472</v>
      </c>
      <c r="F251" s="27">
        <f>ROUND(1.2472,4)</f>
        <v>1.2472</v>
      </c>
      <c r="G251" s="24"/>
      <c r="H251" s="36"/>
    </row>
    <row r="252" spans="1:8" ht="12.75" customHeight="1">
      <c r="A252" s="22" t="s">
        <v>71</v>
      </c>
      <c r="B252" s="22"/>
      <c r="C252" s="23"/>
      <c r="D252" s="23"/>
      <c r="E252" s="23"/>
      <c r="F252" s="23"/>
      <c r="G252" s="24"/>
      <c r="H252" s="36"/>
    </row>
    <row r="253" spans="1:8" ht="12.75" customHeight="1">
      <c r="A253" s="22">
        <v>41985</v>
      </c>
      <c r="B253" s="22"/>
      <c r="C253" s="27">
        <f>ROUND(9.76344901,4)</f>
        <v>9.7634</v>
      </c>
      <c r="D253" s="27">
        <f>F253</f>
        <v>9.7931</v>
      </c>
      <c r="E253" s="27">
        <f>F253</f>
        <v>9.7931</v>
      </c>
      <c r="F253" s="27">
        <f>ROUND(9.7931,4)</f>
        <v>9.7931</v>
      </c>
      <c r="G253" s="24"/>
      <c r="H253" s="36"/>
    </row>
    <row r="254" spans="1:8" ht="12.75" customHeight="1">
      <c r="A254" s="22">
        <v>42079</v>
      </c>
      <c r="B254" s="22"/>
      <c r="C254" s="27">
        <f>ROUND(9.76344901,4)</f>
        <v>9.7634</v>
      </c>
      <c r="D254" s="27">
        <f>F254</f>
        <v>9.8795</v>
      </c>
      <c r="E254" s="27">
        <f>F254</f>
        <v>9.8795</v>
      </c>
      <c r="F254" s="27">
        <f>ROUND(9.8795,4)</f>
        <v>9.8795</v>
      </c>
      <c r="G254" s="24"/>
      <c r="H254" s="36"/>
    </row>
    <row r="255" spans="1:8" ht="12.75" customHeight="1">
      <c r="A255" s="22">
        <v>42167</v>
      </c>
      <c r="B255" s="22"/>
      <c r="C255" s="27">
        <f>ROUND(9.76344901,4)</f>
        <v>9.7634</v>
      </c>
      <c r="D255" s="27">
        <f>F255</f>
        <v>9.9663</v>
      </c>
      <c r="E255" s="27">
        <f>F255</f>
        <v>9.9663</v>
      </c>
      <c r="F255" s="27">
        <f>ROUND(9.9663,4)</f>
        <v>9.9663</v>
      </c>
      <c r="G255" s="24"/>
      <c r="H255" s="36"/>
    </row>
    <row r="256" spans="1:8" ht="12.75" customHeight="1">
      <c r="A256" s="22">
        <v>42261</v>
      </c>
      <c r="B256" s="22"/>
      <c r="C256" s="27">
        <f>ROUND(9.76344901,4)</f>
        <v>9.7634</v>
      </c>
      <c r="D256" s="27">
        <f>F256</f>
        <v>10.0657</v>
      </c>
      <c r="E256" s="27">
        <f>F256</f>
        <v>10.0657</v>
      </c>
      <c r="F256" s="27">
        <f>ROUND(10.0657,4)</f>
        <v>10.0657</v>
      </c>
      <c r="G256" s="24"/>
      <c r="H256" s="36"/>
    </row>
    <row r="257" spans="1:8" ht="12.75" customHeight="1">
      <c r="A257" s="22">
        <v>42349</v>
      </c>
      <c r="B257" s="22"/>
      <c r="C257" s="27">
        <f>ROUND(9.76344901,4)</f>
        <v>9.7634</v>
      </c>
      <c r="D257" s="27">
        <f>F257</f>
        <v>10.165</v>
      </c>
      <c r="E257" s="27">
        <f>F257</f>
        <v>10.165</v>
      </c>
      <c r="F257" s="27">
        <f>ROUND(10.165,4)</f>
        <v>10.165</v>
      </c>
      <c r="G257" s="24"/>
      <c r="H257" s="36"/>
    </row>
    <row r="258" spans="1:8" ht="12.75" customHeight="1">
      <c r="A258" s="22">
        <v>42443</v>
      </c>
      <c r="B258" s="22"/>
      <c r="C258" s="27">
        <f>ROUND(9.76344901,4)</f>
        <v>9.7634</v>
      </c>
      <c r="D258" s="27">
        <f>F258</f>
        <v>10.2761</v>
      </c>
      <c r="E258" s="27">
        <f>F258</f>
        <v>10.2761</v>
      </c>
      <c r="F258" s="27">
        <f>ROUND(10.2761,4)</f>
        <v>10.2761</v>
      </c>
      <c r="G258" s="24"/>
      <c r="H258" s="36"/>
    </row>
    <row r="259" spans="1:8" ht="12.75" customHeight="1">
      <c r="A259" s="22">
        <v>42534</v>
      </c>
      <c r="B259" s="22"/>
      <c r="C259" s="27">
        <f>ROUND(9.76344901,4)</f>
        <v>9.7634</v>
      </c>
      <c r="D259" s="27">
        <f>F259</f>
        <v>10.3838</v>
      </c>
      <c r="E259" s="27">
        <f>F259</f>
        <v>10.3838</v>
      </c>
      <c r="F259" s="27">
        <f>ROUND(10.3838,4)</f>
        <v>10.3838</v>
      </c>
      <c r="G259" s="24"/>
      <c r="H259" s="36"/>
    </row>
    <row r="260" spans="1:8" ht="12.75" customHeight="1">
      <c r="A260" s="22" t="s">
        <v>72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41985</v>
      </c>
      <c r="B261" s="22"/>
      <c r="C261" s="27">
        <f>ROUND(9.90088417329797,4)</f>
        <v>9.9009</v>
      </c>
      <c r="D261" s="27">
        <f>F261</f>
        <v>9.9413</v>
      </c>
      <c r="E261" s="27">
        <f>F261</f>
        <v>9.9413</v>
      </c>
      <c r="F261" s="27">
        <f>ROUND(9.9413,4)</f>
        <v>9.9413</v>
      </c>
      <c r="G261" s="24"/>
      <c r="H261" s="36"/>
    </row>
    <row r="262" spans="1:8" ht="12.75" customHeight="1">
      <c r="A262" s="22">
        <v>42079</v>
      </c>
      <c r="B262" s="22"/>
      <c r="C262" s="27">
        <f>ROUND(9.90088417329797,4)</f>
        <v>9.9009</v>
      </c>
      <c r="D262" s="27">
        <f>F262</f>
        <v>10.0794</v>
      </c>
      <c r="E262" s="27">
        <f>F262</f>
        <v>10.0794</v>
      </c>
      <c r="F262" s="27">
        <f>ROUND(10.0794,4)</f>
        <v>10.0794</v>
      </c>
      <c r="G262" s="24"/>
      <c r="H262" s="36"/>
    </row>
    <row r="263" spans="1:8" ht="12.75" customHeight="1">
      <c r="A263" s="22">
        <v>42167</v>
      </c>
      <c r="B263" s="22"/>
      <c r="C263" s="27">
        <f>ROUND(9.90088417329797,4)</f>
        <v>9.9009</v>
      </c>
      <c r="D263" s="27">
        <f>F263</f>
        <v>10.2105</v>
      </c>
      <c r="E263" s="27">
        <f>F263</f>
        <v>10.2105</v>
      </c>
      <c r="F263" s="27">
        <f>ROUND(10.2105,4)</f>
        <v>10.2105</v>
      </c>
      <c r="G263" s="24"/>
      <c r="H263" s="36"/>
    </row>
    <row r="264" spans="1:8" ht="12.75" customHeight="1">
      <c r="A264" s="22">
        <v>42261</v>
      </c>
      <c r="B264" s="22"/>
      <c r="C264" s="27">
        <f>ROUND(9.90088417329797,4)</f>
        <v>9.9009</v>
      </c>
      <c r="D264" s="27">
        <f>F264</f>
        <v>10.357</v>
      </c>
      <c r="E264" s="27">
        <f>F264</f>
        <v>10.357</v>
      </c>
      <c r="F264" s="27">
        <f>ROUND(10.357,4)</f>
        <v>10.357</v>
      </c>
      <c r="G264" s="24"/>
      <c r="H264" s="36"/>
    </row>
    <row r="265" spans="1:8" ht="12.75" customHeight="1">
      <c r="A265" s="22" t="s">
        <v>73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41985</v>
      </c>
      <c r="B266" s="22"/>
      <c r="C266" s="27">
        <f>ROUND(1.83507340946166,4)</f>
        <v>1.8351</v>
      </c>
      <c r="D266" s="27">
        <f>F266</f>
        <v>1.831</v>
      </c>
      <c r="E266" s="27">
        <f>F266</f>
        <v>1.831</v>
      </c>
      <c r="F266" s="27">
        <f>ROUND(1.831,4)</f>
        <v>1.831</v>
      </c>
      <c r="G266" s="24"/>
      <c r="H266" s="36"/>
    </row>
    <row r="267" spans="1:8" ht="12.75" customHeight="1">
      <c r="A267" s="22">
        <v>42079</v>
      </c>
      <c r="B267" s="22"/>
      <c r="C267" s="27">
        <f>ROUND(1.83507340946166,4)</f>
        <v>1.8351</v>
      </c>
      <c r="D267" s="27">
        <f>F267</f>
        <v>1.8465</v>
      </c>
      <c r="E267" s="27">
        <f>F267</f>
        <v>1.8465</v>
      </c>
      <c r="F267" s="27">
        <f>ROUND(1.8465,4)</f>
        <v>1.8465</v>
      </c>
      <c r="G267" s="24"/>
      <c r="H267" s="36"/>
    </row>
    <row r="268" spans="1:8" ht="12.75" customHeight="1">
      <c r="A268" s="22">
        <v>42167</v>
      </c>
      <c r="B268" s="22"/>
      <c r="C268" s="27">
        <f>ROUND(1.83507340946166,4)</f>
        <v>1.8351</v>
      </c>
      <c r="D268" s="27">
        <f>F268</f>
        <v>1.8629</v>
      </c>
      <c r="E268" s="27">
        <f>F268</f>
        <v>1.8629</v>
      </c>
      <c r="F268" s="27">
        <f>ROUND(1.8629,4)</f>
        <v>1.8629</v>
      </c>
      <c r="G268" s="24"/>
      <c r="H268" s="36"/>
    </row>
    <row r="269" spans="1:8" ht="12.75" customHeight="1">
      <c r="A269" s="22">
        <v>42261</v>
      </c>
      <c r="B269" s="22"/>
      <c r="C269" s="27">
        <f>ROUND(1.83507340946166,4)</f>
        <v>1.8351</v>
      </c>
      <c r="D269" s="27">
        <f>F269</f>
        <v>1.8832</v>
      </c>
      <c r="E269" s="27">
        <f>F269</f>
        <v>1.8832</v>
      </c>
      <c r="F269" s="27">
        <f>ROUND(1.8832,4)</f>
        <v>1.8832</v>
      </c>
      <c r="G269" s="24"/>
      <c r="H269" s="36"/>
    </row>
    <row r="270" spans="1:8" ht="12.75" customHeight="1">
      <c r="A270" s="22" t="s">
        <v>74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41985</v>
      </c>
      <c r="B271" s="22"/>
      <c r="C271" s="27">
        <f>ROUND(13.94362508,4)</f>
        <v>13.9436</v>
      </c>
      <c r="D271" s="27">
        <f>F271</f>
        <v>14.0091</v>
      </c>
      <c r="E271" s="27">
        <f>F271</f>
        <v>14.0091</v>
      </c>
      <c r="F271" s="27">
        <f>ROUND(14.0091,4)</f>
        <v>14.0091</v>
      </c>
      <c r="G271" s="24"/>
      <c r="H271" s="36"/>
    </row>
    <row r="272" spans="1:8" ht="12.75" customHeight="1">
      <c r="A272" s="22">
        <v>42079</v>
      </c>
      <c r="B272" s="22"/>
      <c r="C272" s="27">
        <f>ROUND(13.94362508,4)</f>
        <v>13.9436</v>
      </c>
      <c r="D272" s="27">
        <f>F272</f>
        <v>14.2488</v>
      </c>
      <c r="E272" s="27">
        <f>F272</f>
        <v>14.2488</v>
      </c>
      <c r="F272" s="27">
        <f>ROUND(14.2488,4)</f>
        <v>14.2488</v>
      </c>
      <c r="G272" s="24"/>
      <c r="H272" s="36"/>
    </row>
    <row r="273" spans="1:8" ht="12.75" customHeight="1">
      <c r="A273" s="22">
        <v>42167</v>
      </c>
      <c r="B273" s="22"/>
      <c r="C273" s="27">
        <f>ROUND(13.94362508,4)</f>
        <v>13.9436</v>
      </c>
      <c r="D273" s="27">
        <f>F273</f>
        <v>14.4784</v>
      </c>
      <c r="E273" s="27">
        <f>F273</f>
        <v>14.4784</v>
      </c>
      <c r="F273" s="27">
        <f>ROUND(14.4784,4)</f>
        <v>14.4784</v>
      </c>
      <c r="G273" s="24"/>
      <c r="H273" s="36"/>
    </row>
    <row r="274" spans="1:8" ht="12.75" customHeight="1">
      <c r="A274" s="22">
        <v>42261</v>
      </c>
      <c r="B274" s="22"/>
      <c r="C274" s="27">
        <f>ROUND(13.94362508,4)</f>
        <v>13.9436</v>
      </c>
      <c r="D274" s="27">
        <f>F274</f>
        <v>14.7364</v>
      </c>
      <c r="E274" s="27">
        <f>F274</f>
        <v>14.7364</v>
      </c>
      <c r="F274" s="27">
        <f>ROUND(14.7364,4)</f>
        <v>14.7364</v>
      </c>
      <c r="G274" s="24"/>
      <c r="H274" s="36"/>
    </row>
    <row r="275" spans="1:8" ht="12.75" customHeight="1">
      <c r="A275" s="22">
        <v>42349</v>
      </c>
      <c r="B275" s="22"/>
      <c r="C275" s="27">
        <f>ROUND(13.94362508,4)</f>
        <v>13.9436</v>
      </c>
      <c r="D275" s="27">
        <f>F275</f>
        <v>14.9884</v>
      </c>
      <c r="E275" s="27">
        <f>F275</f>
        <v>14.9884</v>
      </c>
      <c r="F275" s="27">
        <f>ROUND(14.9884,4)</f>
        <v>14.9884</v>
      </c>
      <c r="G275" s="24"/>
      <c r="H275" s="36"/>
    </row>
    <row r="276" spans="1:8" ht="12.75" customHeight="1">
      <c r="A276" s="22">
        <v>42443</v>
      </c>
      <c r="B276" s="22"/>
      <c r="C276" s="27">
        <f>ROUND(13.94362508,4)</f>
        <v>13.9436</v>
      </c>
      <c r="D276" s="27">
        <f>F276</f>
        <v>15.2635</v>
      </c>
      <c r="E276" s="27">
        <f>F276</f>
        <v>15.2635</v>
      </c>
      <c r="F276" s="27">
        <f>ROUND(15.2635,4)</f>
        <v>15.2635</v>
      </c>
      <c r="G276" s="24"/>
      <c r="H276" s="36"/>
    </row>
    <row r="277" spans="1:8" ht="12.75" customHeight="1">
      <c r="A277" s="22">
        <v>42534</v>
      </c>
      <c r="B277" s="22"/>
      <c r="C277" s="27">
        <f>ROUND(13.94362508,4)</f>
        <v>13.9436</v>
      </c>
      <c r="D277" s="27">
        <f>F277</f>
        <v>15.5616</v>
      </c>
      <c r="E277" s="27">
        <f>F277</f>
        <v>15.5616</v>
      </c>
      <c r="F277" s="27">
        <f>ROUND(15.5616,4)</f>
        <v>15.5616</v>
      </c>
      <c r="G277" s="24"/>
      <c r="H277" s="36"/>
    </row>
    <row r="278" spans="1:8" ht="12.75" customHeight="1">
      <c r="A278" s="22" t="s">
        <v>75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41985</v>
      </c>
      <c r="B279" s="22"/>
      <c r="C279" s="27">
        <f>ROUND(11.5980321077162,4)</f>
        <v>11.598</v>
      </c>
      <c r="D279" s="27">
        <f>F279</f>
        <v>11.6529</v>
      </c>
      <c r="E279" s="27">
        <f>F279</f>
        <v>11.6529</v>
      </c>
      <c r="F279" s="27">
        <f>ROUND(11.6529,4)</f>
        <v>11.6529</v>
      </c>
      <c r="G279" s="24"/>
      <c r="H279" s="36"/>
    </row>
    <row r="280" spans="1:8" ht="12.75" customHeight="1">
      <c r="A280" s="22">
        <v>42079</v>
      </c>
      <c r="B280" s="22"/>
      <c r="C280" s="27">
        <f>ROUND(11.5980321077162,4)</f>
        <v>11.598</v>
      </c>
      <c r="D280" s="27">
        <f>F280</f>
        <v>11.8603</v>
      </c>
      <c r="E280" s="27">
        <f>F280</f>
        <v>11.8603</v>
      </c>
      <c r="F280" s="27">
        <f>ROUND(11.8603,4)</f>
        <v>11.8603</v>
      </c>
      <c r="G280" s="24"/>
      <c r="H280" s="36"/>
    </row>
    <row r="281" spans="1:8" ht="12.75" customHeight="1">
      <c r="A281" s="22">
        <v>42167</v>
      </c>
      <c r="B281" s="22"/>
      <c r="C281" s="27">
        <f>ROUND(11.5980321077162,4)</f>
        <v>11.598</v>
      </c>
      <c r="D281" s="27">
        <f>F281</f>
        <v>12.0611</v>
      </c>
      <c r="E281" s="27">
        <f>F281</f>
        <v>12.0611</v>
      </c>
      <c r="F281" s="27">
        <f>ROUND(12.0611,4)</f>
        <v>12.0611</v>
      </c>
      <c r="G281" s="24"/>
      <c r="H281" s="36"/>
    </row>
    <row r="282" spans="1:8" ht="12.75" customHeight="1">
      <c r="A282" s="22">
        <v>42261</v>
      </c>
      <c r="B282" s="22"/>
      <c r="C282" s="27">
        <f>ROUND(11.5980321077162,4)</f>
        <v>11.598</v>
      </c>
      <c r="D282" s="27">
        <f>F282</f>
        <v>12.2851</v>
      </c>
      <c r="E282" s="27">
        <f>F282</f>
        <v>12.2851</v>
      </c>
      <c r="F282" s="27">
        <f>ROUND(12.2851,4)</f>
        <v>12.2851</v>
      </c>
      <c r="G282" s="24"/>
      <c r="H282" s="36"/>
    </row>
    <row r="283" spans="1:8" ht="12.75" customHeight="1">
      <c r="A283" s="22">
        <v>42349</v>
      </c>
      <c r="B283" s="22"/>
      <c r="C283" s="27">
        <f>ROUND(11.5980321077162,4)</f>
        <v>11.598</v>
      </c>
      <c r="D283" s="27">
        <f>F283</f>
        <v>12.5022</v>
      </c>
      <c r="E283" s="27">
        <f>F283</f>
        <v>12.5022</v>
      </c>
      <c r="F283" s="27">
        <f>ROUND(12.5022,4)</f>
        <v>12.5022</v>
      </c>
      <c r="G283" s="24"/>
      <c r="H283" s="36"/>
    </row>
    <row r="284" spans="1:8" ht="12.75" customHeight="1">
      <c r="A284" s="22" t="s">
        <v>76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41985</v>
      </c>
      <c r="B285" s="22"/>
      <c r="C285" s="27">
        <f>ROUND(17.69716116,4)</f>
        <v>17.6972</v>
      </c>
      <c r="D285" s="27">
        <f>F285</f>
        <v>17.775</v>
      </c>
      <c r="E285" s="27">
        <f>F285</f>
        <v>17.775</v>
      </c>
      <c r="F285" s="27">
        <f>ROUND(17.775,4)</f>
        <v>17.775</v>
      </c>
      <c r="G285" s="24"/>
      <c r="H285" s="36"/>
    </row>
    <row r="286" spans="1:8" ht="12.75" customHeight="1">
      <c r="A286" s="22">
        <v>42079</v>
      </c>
      <c r="B286" s="22"/>
      <c r="C286" s="27">
        <f>ROUND(17.69716116,4)</f>
        <v>17.6972</v>
      </c>
      <c r="D286" s="27">
        <f>F286</f>
        <v>18.0507</v>
      </c>
      <c r="E286" s="27">
        <f>F286</f>
        <v>18.0507</v>
      </c>
      <c r="F286" s="27">
        <f>ROUND(18.0507,4)</f>
        <v>18.0507</v>
      </c>
      <c r="G286" s="24"/>
      <c r="H286" s="36"/>
    </row>
    <row r="287" spans="1:8" ht="12.75" customHeight="1">
      <c r="A287" s="22">
        <v>42167</v>
      </c>
      <c r="B287" s="22"/>
      <c r="C287" s="27">
        <f>ROUND(17.69716116,4)</f>
        <v>17.6972</v>
      </c>
      <c r="D287" s="27">
        <f>F287</f>
        <v>18.312</v>
      </c>
      <c r="E287" s="27">
        <f>F287</f>
        <v>18.312</v>
      </c>
      <c r="F287" s="27">
        <f>ROUND(18.312,4)</f>
        <v>18.312</v>
      </c>
      <c r="G287" s="24"/>
      <c r="H287" s="36"/>
    </row>
    <row r="288" spans="1:8" ht="12.75" customHeight="1">
      <c r="A288" s="22">
        <v>42261</v>
      </c>
      <c r="B288" s="22"/>
      <c r="C288" s="27">
        <f>ROUND(17.69716116,4)</f>
        <v>17.6972</v>
      </c>
      <c r="D288" s="27">
        <f>F288</f>
        <v>18.6007</v>
      </c>
      <c r="E288" s="27">
        <f>F288</f>
        <v>18.6007</v>
      </c>
      <c r="F288" s="27">
        <f>ROUND(18.6007,4)</f>
        <v>18.6007</v>
      </c>
      <c r="G288" s="24"/>
      <c r="H288" s="36"/>
    </row>
    <row r="289" spans="1:8" ht="12.75" customHeight="1">
      <c r="A289" s="22">
        <v>42349</v>
      </c>
      <c r="B289" s="22"/>
      <c r="C289" s="27">
        <f>ROUND(17.69716116,4)</f>
        <v>17.6972</v>
      </c>
      <c r="D289" s="27">
        <f>F289</f>
        <v>18.8798</v>
      </c>
      <c r="E289" s="27">
        <f>F289</f>
        <v>18.8798</v>
      </c>
      <c r="F289" s="27">
        <f>ROUND(18.8798,4)</f>
        <v>18.8798</v>
      </c>
      <c r="G289" s="24"/>
      <c r="H289" s="36"/>
    </row>
    <row r="290" spans="1:8" ht="12.75" customHeight="1">
      <c r="A290" s="22">
        <v>42443</v>
      </c>
      <c r="B290" s="22"/>
      <c r="C290" s="27">
        <f>ROUND(17.69716116,4)</f>
        <v>17.6972</v>
      </c>
      <c r="D290" s="27">
        <f>F290</f>
        <v>19.1824</v>
      </c>
      <c r="E290" s="27">
        <f>F290</f>
        <v>19.1824</v>
      </c>
      <c r="F290" s="27">
        <f>ROUND(19.1824,4)</f>
        <v>19.1824</v>
      </c>
      <c r="G290" s="24"/>
      <c r="H290" s="36"/>
    </row>
    <row r="291" spans="1:8" ht="12.75" customHeight="1">
      <c r="A291" s="22" t="s">
        <v>77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41985</v>
      </c>
      <c r="B292" s="22"/>
      <c r="C292" s="28">
        <f>ROUND(0.0971837464417135,6)</f>
        <v>0.097184</v>
      </c>
      <c r="D292" s="28">
        <f>F292</f>
        <v>0.097639</v>
      </c>
      <c r="E292" s="28">
        <f>F292</f>
        <v>0.097639</v>
      </c>
      <c r="F292" s="28">
        <f>ROUND(0.097639,6)</f>
        <v>0.097639</v>
      </c>
      <c r="G292" s="24"/>
      <c r="H292" s="36"/>
    </row>
    <row r="293" spans="1:8" ht="12.75" customHeight="1">
      <c r="A293" s="22">
        <v>42079</v>
      </c>
      <c r="B293" s="22"/>
      <c r="C293" s="28">
        <f>ROUND(0.0971837464417135,6)</f>
        <v>0.097184</v>
      </c>
      <c r="D293" s="28">
        <f>F293</f>
        <v>0.099361</v>
      </c>
      <c r="E293" s="28">
        <f>F293</f>
        <v>0.099361</v>
      </c>
      <c r="F293" s="28">
        <f>ROUND(0.099361,6)</f>
        <v>0.099361</v>
      </c>
      <c r="G293" s="24"/>
      <c r="H293" s="36"/>
    </row>
    <row r="294" spans="1:8" ht="12.75" customHeight="1">
      <c r="A294" s="22">
        <v>42167</v>
      </c>
      <c r="B294" s="22"/>
      <c r="C294" s="28">
        <f>ROUND(0.0971837464417135,6)</f>
        <v>0.097184</v>
      </c>
      <c r="D294" s="28">
        <f>F294</f>
        <v>0.100999</v>
      </c>
      <c r="E294" s="28">
        <f>F294</f>
        <v>0.100999</v>
      </c>
      <c r="F294" s="28">
        <f>ROUND(0.100999,6)</f>
        <v>0.100999</v>
      </c>
      <c r="G294" s="24"/>
      <c r="H294" s="36"/>
    </row>
    <row r="295" spans="1:8" ht="12.75" customHeight="1">
      <c r="A295" s="22">
        <v>42261</v>
      </c>
      <c r="B295" s="22"/>
      <c r="C295" s="28">
        <f>ROUND(0.0971837464417135,6)</f>
        <v>0.097184</v>
      </c>
      <c r="D295" s="28">
        <f>F295</f>
        <v>0.102834</v>
      </c>
      <c r="E295" s="28">
        <f>F295</f>
        <v>0.102834</v>
      </c>
      <c r="F295" s="28">
        <f>ROUND(0.102834,6)</f>
        <v>0.102834</v>
      </c>
      <c r="G295" s="24"/>
      <c r="H295" s="36"/>
    </row>
    <row r="296" spans="1:8" ht="12.75" customHeight="1">
      <c r="A296" s="22">
        <v>42349</v>
      </c>
      <c r="B296" s="22"/>
      <c r="C296" s="28">
        <f>ROUND(0.0971837464417135,6)</f>
        <v>0.097184</v>
      </c>
      <c r="D296" s="28">
        <f>F296</f>
        <v>0.104671</v>
      </c>
      <c r="E296" s="28">
        <f>F296</f>
        <v>0.104671</v>
      </c>
      <c r="F296" s="28">
        <f>ROUND(0.104671,6)</f>
        <v>0.104671</v>
      </c>
      <c r="G296" s="24"/>
      <c r="H296" s="36"/>
    </row>
    <row r="297" spans="1:8" ht="12.75" customHeight="1">
      <c r="A297" s="22" t="s">
        <v>78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41985</v>
      </c>
      <c r="B298" s="22"/>
      <c r="C298" s="27">
        <f>ROUND(0.124403832801,4)</f>
        <v>0.1244</v>
      </c>
      <c r="D298" s="27">
        <f>F298</f>
        <v>0.1245</v>
      </c>
      <c r="E298" s="27">
        <f>F298</f>
        <v>0.1245</v>
      </c>
      <c r="F298" s="27">
        <f>ROUND(0.1245,4)</f>
        <v>0.1245</v>
      </c>
      <c r="G298" s="24"/>
      <c r="H298" s="36"/>
    </row>
    <row r="299" spans="1:8" ht="12.75" customHeight="1">
      <c r="A299" s="22" t="s">
        <v>79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41985</v>
      </c>
      <c r="B300" s="22"/>
      <c r="C300" s="27">
        <f>ROUND(0.0662489831536289,4)</f>
        <v>0.0662</v>
      </c>
      <c r="D300" s="27">
        <f>F300</f>
        <v>0.066</v>
      </c>
      <c r="E300" s="27">
        <f>F300</f>
        <v>0.066</v>
      </c>
      <c r="F300" s="27">
        <f>ROUND(0.066,4)</f>
        <v>0.066</v>
      </c>
      <c r="G300" s="24"/>
      <c r="H300" s="36"/>
    </row>
    <row r="301" spans="1:8" ht="12.75" customHeight="1">
      <c r="A301" s="22">
        <v>42079</v>
      </c>
      <c r="B301" s="22"/>
      <c r="C301" s="27">
        <f>ROUND(0.0662489831536289,4)</f>
        <v>0.0662</v>
      </c>
      <c r="D301" s="27">
        <f>F301</f>
        <v>0.0649</v>
      </c>
      <c r="E301" s="27">
        <f>F301</f>
        <v>0.0649</v>
      </c>
      <c r="F301" s="27">
        <f>ROUND(0.0649,4)</f>
        <v>0.0649</v>
      </c>
      <c r="G301" s="24"/>
      <c r="H301" s="36"/>
    </row>
    <row r="302" spans="1:8" ht="12.75" customHeight="1">
      <c r="A302" s="22">
        <v>42167</v>
      </c>
      <c r="B302" s="22"/>
      <c r="C302" s="27">
        <f>ROUND(0.0662489831536289,4)</f>
        <v>0.0662</v>
      </c>
      <c r="D302" s="27">
        <f>F302</f>
        <v>0.0632</v>
      </c>
      <c r="E302" s="27">
        <f>F302</f>
        <v>0.0632</v>
      </c>
      <c r="F302" s="27">
        <f>ROUND(0.0632,4)</f>
        <v>0.0632</v>
      </c>
      <c r="G302" s="24"/>
      <c r="H302" s="36"/>
    </row>
    <row r="303" spans="1:8" ht="12.75" customHeight="1">
      <c r="A303" s="22">
        <v>42261</v>
      </c>
      <c r="B303" s="22"/>
      <c r="C303" s="27">
        <f>ROUND(0.0662489831536289,4)</f>
        <v>0.0662</v>
      </c>
      <c r="D303" s="27">
        <f>F303</f>
        <v>0.0609</v>
      </c>
      <c r="E303" s="27">
        <f>F303</f>
        <v>0.0609</v>
      </c>
      <c r="F303" s="27">
        <f>ROUND(0.0609,4)</f>
        <v>0.0609</v>
      </c>
      <c r="G303" s="24"/>
      <c r="H303" s="36"/>
    </row>
    <row r="304" spans="1:8" ht="12.75" customHeight="1">
      <c r="A304" s="22">
        <v>42349</v>
      </c>
      <c r="B304" s="22"/>
      <c r="C304" s="27">
        <f>ROUND(0.0662489831536289,4)</f>
        <v>0.0662</v>
      </c>
      <c r="D304" s="27">
        <f>F304</f>
        <v>0.0602</v>
      </c>
      <c r="E304" s="27">
        <f>F304</f>
        <v>0.0602</v>
      </c>
      <c r="F304" s="27">
        <f>ROUND(0.0602,4)</f>
        <v>0.0602</v>
      </c>
      <c r="G304" s="24"/>
      <c r="H304" s="36"/>
    </row>
    <row r="305" spans="1:8" ht="12.75" customHeight="1">
      <c r="A305" s="22" t="s">
        <v>80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41985</v>
      </c>
      <c r="B306" s="22"/>
      <c r="C306" s="27">
        <f>ROUND(8.81610667,4)</f>
        <v>8.8161</v>
      </c>
      <c r="D306" s="27">
        <f>F306</f>
        <v>8.8426</v>
      </c>
      <c r="E306" s="27">
        <f>F306</f>
        <v>8.8426</v>
      </c>
      <c r="F306" s="27">
        <f>ROUND(8.8426,4)</f>
        <v>8.8426</v>
      </c>
      <c r="G306" s="24"/>
      <c r="H306" s="36"/>
    </row>
    <row r="307" spans="1:8" ht="12.75" customHeight="1">
      <c r="A307" s="22" t="s">
        <v>81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41985</v>
      </c>
      <c r="B308" s="22"/>
      <c r="C308" s="27">
        <f>ROUND(4.96206850711216,4)</f>
        <v>4.9621</v>
      </c>
      <c r="D308" s="27">
        <f>F308</f>
        <v>4.9523</v>
      </c>
      <c r="E308" s="27">
        <f>F308</f>
        <v>4.9523</v>
      </c>
      <c r="F308" s="27">
        <f>ROUND(4.9523,4)</f>
        <v>4.9523</v>
      </c>
      <c r="G308" s="24"/>
      <c r="H308" s="36"/>
    </row>
    <row r="309" spans="1:8" ht="12.75" customHeight="1">
      <c r="A309" s="22">
        <v>42079</v>
      </c>
      <c r="B309" s="22"/>
      <c r="C309" s="27">
        <f>ROUND(4.96206850711216,4)</f>
        <v>4.9621</v>
      </c>
      <c r="D309" s="27">
        <f>F309</f>
        <v>4.9334</v>
      </c>
      <c r="E309" s="27">
        <f>F309</f>
        <v>4.9334</v>
      </c>
      <c r="F309" s="27">
        <f>ROUND(4.9334,4)</f>
        <v>4.9334</v>
      </c>
      <c r="G309" s="24"/>
      <c r="H309" s="36"/>
    </row>
    <row r="310" spans="1:8" ht="12.75" customHeight="1">
      <c r="A310" s="22">
        <v>42167</v>
      </c>
      <c r="B310" s="22"/>
      <c r="C310" s="27">
        <f>ROUND(4.96206850711216,4)</f>
        <v>4.9621</v>
      </c>
      <c r="D310" s="27">
        <f>F310</f>
        <v>4.9112</v>
      </c>
      <c r="E310" s="27">
        <f>F310</f>
        <v>4.9112</v>
      </c>
      <c r="F310" s="27">
        <f>ROUND(4.9112,4)</f>
        <v>4.9112</v>
      </c>
      <c r="G310" s="24"/>
      <c r="H310" s="36"/>
    </row>
    <row r="311" spans="1:8" ht="12.75" customHeight="1">
      <c r="A311" s="22" t="s">
        <v>82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41985</v>
      </c>
      <c r="B312" s="22"/>
      <c r="C312" s="27">
        <f>ROUND(11.1979,4)</f>
        <v>11.1979</v>
      </c>
      <c r="D312" s="27">
        <f>F312</f>
        <v>11.249</v>
      </c>
      <c r="E312" s="27">
        <f>F312</f>
        <v>11.249</v>
      </c>
      <c r="F312" s="27">
        <f>ROUND(11.249,4)</f>
        <v>11.249</v>
      </c>
      <c r="G312" s="24"/>
      <c r="H312" s="36"/>
    </row>
    <row r="313" spans="1:8" ht="12.75" customHeight="1">
      <c r="A313" s="22">
        <v>42079</v>
      </c>
      <c r="B313" s="22"/>
      <c r="C313" s="27">
        <f>ROUND(11.1979,4)</f>
        <v>11.1979</v>
      </c>
      <c r="D313" s="27">
        <f>F313</f>
        <v>11.4331</v>
      </c>
      <c r="E313" s="27">
        <f>F313</f>
        <v>11.4331</v>
      </c>
      <c r="F313" s="27">
        <f>ROUND(11.4331,4)</f>
        <v>11.4331</v>
      </c>
      <c r="G313" s="24"/>
      <c r="H313" s="36"/>
    </row>
    <row r="314" spans="1:8" ht="12.75" customHeight="1">
      <c r="A314" s="22">
        <v>42167</v>
      </c>
      <c r="B314" s="22"/>
      <c r="C314" s="27">
        <f>ROUND(11.1979,4)</f>
        <v>11.1979</v>
      </c>
      <c r="D314" s="27">
        <f>F314</f>
        <v>11.6084</v>
      </c>
      <c r="E314" s="27">
        <f>F314</f>
        <v>11.6084</v>
      </c>
      <c r="F314" s="27">
        <f>ROUND(11.6084,4)</f>
        <v>11.6084</v>
      </c>
      <c r="G314" s="24"/>
      <c r="H314" s="36"/>
    </row>
    <row r="315" spans="1:8" ht="12.75" customHeight="1">
      <c r="A315" s="22">
        <v>42261</v>
      </c>
      <c r="B315" s="22"/>
      <c r="C315" s="27">
        <f>ROUND(11.1979,4)</f>
        <v>11.1979</v>
      </c>
      <c r="D315" s="27">
        <f>F315</f>
        <v>11.801</v>
      </c>
      <c r="E315" s="27">
        <f>F315</f>
        <v>11.801</v>
      </c>
      <c r="F315" s="27">
        <f>ROUND(11.801,4)</f>
        <v>11.801</v>
      </c>
      <c r="G315" s="24"/>
      <c r="H315" s="36"/>
    </row>
    <row r="316" spans="1:8" ht="12.75" customHeight="1">
      <c r="A316" s="22" t="s">
        <v>83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41985</v>
      </c>
      <c r="B317" s="22"/>
      <c r="C317" s="27">
        <f>ROUND(11.1979,4)</f>
        <v>11.1979</v>
      </c>
      <c r="D317" s="27">
        <f>F317</f>
        <v>11.249</v>
      </c>
      <c r="E317" s="27">
        <f>F317</f>
        <v>11.249</v>
      </c>
      <c r="F317" s="27">
        <f>ROUND(11.249,4)</f>
        <v>11.249</v>
      </c>
      <c r="G317" s="24"/>
      <c r="H317" s="36"/>
    </row>
    <row r="318" spans="1:8" ht="12.75" customHeight="1">
      <c r="A318" s="22">
        <v>42079</v>
      </c>
      <c r="B318" s="22"/>
      <c r="C318" s="27">
        <f>ROUND(11.1979,4)</f>
        <v>11.1979</v>
      </c>
      <c r="D318" s="27">
        <f>F318</f>
        <v>11.4331</v>
      </c>
      <c r="E318" s="27">
        <f>F318</f>
        <v>11.4331</v>
      </c>
      <c r="F318" s="27">
        <f>ROUND(11.4331,4)</f>
        <v>11.4331</v>
      </c>
      <c r="G318" s="24"/>
      <c r="H318" s="36"/>
    </row>
    <row r="319" spans="1:8" ht="12.75" customHeight="1">
      <c r="A319" s="22">
        <v>42167</v>
      </c>
      <c r="B319" s="22"/>
      <c r="C319" s="27">
        <f>ROUND(11.1979,4)</f>
        <v>11.1979</v>
      </c>
      <c r="D319" s="27">
        <f>F319</f>
        <v>11.6084</v>
      </c>
      <c r="E319" s="27">
        <f>F319</f>
        <v>11.6084</v>
      </c>
      <c r="F319" s="27">
        <f>ROUND(11.6084,4)</f>
        <v>11.6084</v>
      </c>
      <c r="G319" s="24"/>
      <c r="H319" s="36"/>
    </row>
    <row r="320" spans="1:8" ht="12.75" customHeight="1">
      <c r="A320" s="22">
        <v>42261</v>
      </c>
      <c r="B320" s="22"/>
      <c r="C320" s="27">
        <f>ROUND(11.1979,4)</f>
        <v>11.1979</v>
      </c>
      <c r="D320" s="27">
        <f>F320</f>
        <v>11.801</v>
      </c>
      <c r="E320" s="27">
        <f>F320</f>
        <v>11.801</v>
      </c>
      <c r="F320" s="27">
        <f>ROUND(11.801,4)</f>
        <v>11.801</v>
      </c>
      <c r="G320" s="24"/>
      <c r="H320" s="36"/>
    </row>
    <row r="321" spans="1:8" ht="12.75" customHeight="1">
      <c r="A321" s="22">
        <v>42349</v>
      </c>
      <c r="B321" s="22"/>
      <c r="C321" s="27">
        <f>ROUND(11.1979,4)</f>
        <v>11.1979</v>
      </c>
      <c r="D321" s="27">
        <f>F321</f>
        <v>11.9853</v>
      </c>
      <c r="E321" s="27">
        <f>F321</f>
        <v>11.9853</v>
      </c>
      <c r="F321" s="27">
        <f>ROUND(11.9853,4)</f>
        <v>11.9853</v>
      </c>
      <c r="G321" s="24"/>
      <c r="H321" s="36"/>
    </row>
    <row r="322" spans="1:8" ht="12.75" customHeight="1">
      <c r="A322" s="22">
        <v>42443</v>
      </c>
      <c r="B322" s="22"/>
      <c r="C322" s="27">
        <f>ROUND(11.1979,4)</f>
        <v>11.1979</v>
      </c>
      <c r="D322" s="27">
        <f>F322</f>
        <v>12.1822</v>
      </c>
      <c r="E322" s="27">
        <f>F322</f>
        <v>12.1822</v>
      </c>
      <c r="F322" s="27">
        <f>ROUND(12.1822,4)</f>
        <v>12.1822</v>
      </c>
      <c r="G322" s="24"/>
      <c r="H322" s="36"/>
    </row>
    <row r="323" spans="1:8" ht="12.75" customHeight="1">
      <c r="A323" s="22">
        <v>42534</v>
      </c>
      <c r="B323" s="22"/>
      <c r="C323" s="27">
        <f>ROUND(11.1979,4)</f>
        <v>11.1979</v>
      </c>
      <c r="D323" s="27">
        <f>F323</f>
        <v>12.3729</v>
      </c>
      <c r="E323" s="27">
        <f>F323</f>
        <v>12.3729</v>
      </c>
      <c r="F323" s="27">
        <f>ROUND(12.3729,4)</f>
        <v>12.3729</v>
      </c>
      <c r="G323" s="24"/>
      <c r="H323" s="36"/>
    </row>
    <row r="324" spans="1:8" ht="12.75" customHeight="1">
      <c r="A324" s="22">
        <v>42632</v>
      </c>
      <c r="B324" s="22"/>
      <c r="C324" s="27">
        <f>ROUND(11.1979,4)</f>
        <v>11.1979</v>
      </c>
      <c r="D324" s="27">
        <f>F324</f>
        <v>12.5781</v>
      </c>
      <c r="E324" s="27">
        <f>F324</f>
        <v>12.5781</v>
      </c>
      <c r="F324" s="27">
        <f>ROUND(12.5781,4)</f>
        <v>12.5781</v>
      </c>
      <c r="G324" s="24"/>
      <c r="H324" s="36"/>
    </row>
    <row r="325" spans="1:8" ht="12.75" customHeight="1">
      <c r="A325" s="22">
        <v>42723</v>
      </c>
      <c r="B325" s="22"/>
      <c r="C325" s="27">
        <f>ROUND(11.1979,4)</f>
        <v>11.1979</v>
      </c>
      <c r="D325" s="27">
        <f>F325</f>
        <v>12.7688</v>
      </c>
      <c r="E325" s="27">
        <f>F325</f>
        <v>12.7688</v>
      </c>
      <c r="F325" s="27">
        <f>ROUND(12.7688,4)</f>
        <v>12.7688</v>
      </c>
      <c r="G325" s="24"/>
      <c r="H325" s="36"/>
    </row>
    <row r="326" spans="1:8" ht="12.75" customHeight="1">
      <c r="A326" s="22">
        <v>42807</v>
      </c>
      <c r="B326" s="22"/>
      <c r="C326" s="27">
        <f>ROUND(11.1979,4)</f>
        <v>11.1979</v>
      </c>
      <c r="D326" s="27">
        <f>F326</f>
        <v>12.9447</v>
      </c>
      <c r="E326" s="27">
        <f>F326</f>
        <v>12.9447</v>
      </c>
      <c r="F326" s="27">
        <f>ROUND(12.9447,4)</f>
        <v>12.9447</v>
      </c>
      <c r="G326" s="24"/>
      <c r="H326" s="36"/>
    </row>
    <row r="327" spans="1:8" ht="12.75" customHeight="1">
      <c r="A327" s="22" t="s">
        <v>84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41985</v>
      </c>
      <c r="B328" s="22"/>
      <c r="C328" s="27">
        <f>ROUND(1.76012260295505,4)</f>
        <v>1.7601</v>
      </c>
      <c r="D328" s="27">
        <f>F328</f>
        <v>1.7481</v>
      </c>
      <c r="E328" s="27">
        <f>F328</f>
        <v>1.7481</v>
      </c>
      <c r="F328" s="27">
        <f>ROUND(1.7481,4)</f>
        <v>1.7481</v>
      </c>
      <c r="G328" s="24"/>
      <c r="H328" s="36"/>
    </row>
    <row r="329" spans="1:8" ht="12.75" customHeight="1">
      <c r="A329" s="22" t="s">
        <v>85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42040</v>
      </c>
      <c r="B330" s="22"/>
      <c r="C330" s="26">
        <f>ROUND(530.986,3)</f>
        <v>530.986</v>
      </c>
      <c r="D330" s="26">
        <f>F330</f>
        <v>538.585</v>
      </c>
      <c r="E330" s="26">
        <f>F330</f>
        <v>538.585</v>
      </c>
      <c r="F330" s="26">
        <f>ROUND(538.585,3)</f>
        <v>538.585</v>
      </c>
      <c r="G330" s="24"/>
      <c r="H330" s="36"/>
    </row>
    <row r="331" spans="1:8" ht="12.75" customHeight="1">
      <c r="A331" s="22">
        <v>42131</v>
      </c>
      <c r="B331" s="22"/>
      <c r="C331" s="26">
        <f>ROUND(530.986,3)</f>
        <v>530.986</v>
      </c>
      <c r="D331" s="26">
        <f>F331</f>
        <v>547.404</v>
      </c>
      <c r="E331" s="26">
        <f>F331</f>
        <v>547.404</v>
      </c>
      <c r="F331" s="26">
        <f>ROUND(547.404,3)</f>
        <v>547.404</v>
      </c>
      <c r="G331" s="24"/>
      <c r="H331" s="36"/>
    </row>
    <row r="332" spans="1:8" ht="12.75" customHeight="1">
      <c r="A332" s="22">
        <v>42222</v>
      </c>
      <c r="B332" s="22"/>
      <c r="C332" s="26">
        <f>ROUND(530.986,3)</f>
        <v>530.986</v>
      </c>
      <c r="D332" s="26">
        <f>F332</f>
        <v>556.767</v>
      </c>
      <c r="E332" s="26">
        <f>F332</f>
        <v>556.767</v>
      </c>
      <c r="F332" s="26">
        <f>ROUND(556.767,3)</f>
        <v>556.767</v>
      </c>
      <c r="G332" s="24"/>
      <c r="H332" s="36"/>
    </row>
    <row r="333" spans="1:8" ht="12.75" customHeight="1">
      <c r="A333" s="22">
        <v>42313</v>
      </c>
      <c r="B333" s="22"/>
      <c r="C333" s="26">
        <f>ROUND(530.986,3)</f>
        <v>530.986</v>
      </c>
      <c r="D333" s="26">
        <f>F333</f>
        <v>566.973</v>
      </c>
      <c r="E333" s="26">
        <f>F333</f>
        <v>566.973</v>
      </c>
      <c r="F333" s="26">
        <f>ROUND(566.973,3)</f>
        <v>566.973</v>
      </c>
      <c r="G333" s="24"/>
      <c r="H333" s="36"/>
    </row>
    <row r="334" spans="1:8" ht="12.75" customHeight="1">
      <c r="A334" s="22" t="s">
        <v>86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42040</v>
      </c>
      <c r="B335" s="22"/>
      <c r="C335" s="26">
        <f>ROUND(444.743,3)</f>
        <v>444.743</v>
      </c>
      <c r="D335" s="26">
        <f>F335</f>
        <v>451.107</v>
      </c>
      <c r="E335" s="26">
        <f>F335</f>
        <v>451.107</v>
      </c>
      <c r="F335" s="26">
        <f>ROUND(451.107,3)</f>
        <v>451.107</v>
      </c>
      <c r="G335" s="24"/>
      <c r="H335" s="36"/>
    </row>
    <row r="336" spans="1:8" ht="12.75" customHeight="1">
      <c r="A336" s="22">
        <v>42131</v>
      </c>
      <c r="B336" s="22"/>
      <c r="C336" s="26">
        <f>ROUND(444.743,3)</f>
        <v>444.743</v>
      </c>
      <c r="D336" s="26">
        <f>F336</f>
        <v>458.495</v>
      </c>
      <c r="E336" s="26">
        <f>F336</f>
        <v>458.495</v>
      </c>
      <c r="F336" s="26">
        <f>ROUND(458.495,3)</f>
        <v>458.495</v>
      </c>
      <c r="G336" s="24"/>
      <c r="H336" s="36"/>
    </row>
    <row r="337" spans="1:8" ht="12.75" customHeight="1">
      <c r="A337" s="22">
        <v>42222</v>
      </c>
      <c r="B337" s="22"/>
      <c r="C337" s="26">
        <f>ROUND(444.743,3)</f>
        <v>444.743</v>
      </c>
      <c r="D337" s="26">
        <f>F337</f>
        <v>466.337</v>
      </c>
      <c r="E337" s="26">
        <f>F337</f>
        <v>466.337</v>
      </c>
      <c r="F337" s="26">
        <f>ROUND(466.337,3)</f>
        <v>466.337</v>
      </c>
      <c r="G337" s="24"/>
      <c r="H337" s="36"/>
    </row>
    <row r="338" spans="1:8" ht="12.75" customHeight="1">
      <c r="A338" s="22">
        <v>42313</v>
      </c>
      <c r="B338" s="22"/>
      <c r="C338" s="26">
        <f>ROUND(444.743,3)</f>
        <v>444.743</v>
      </c>
      <c r="D338" s="26">
        <f>F338</f>
        <v>474.885</v>
      </c>
      <c r="E338" s="26">
        <f>F338</f>
        <v>474.885</v>
      </c>
      <c r="F338" s="26">
        <f>ROUND(474.885,3)</f>
        <v>474.885</v>
      </c>
      <c r="G338" s="24"/>
      <c r="H338" s="36"/>
    </row>
    <row r="339" spans="1:8" ht="12.75" customHeight="1">
      <c r="A339" s="22" t="s">
        <v>87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42040</v>
      </c>
      <c r="B340" s="22"/>
      <c r="C340" s="26">
        <f>ROUND(526.806,3)</f>
        <v>526.806</v>
      </c>
      <c r="D340" s="26">
        <f>F340</f>
        <v>534.345</v>
      </c>
      <c r="E340" s="26">
        <f>F340</f>
        <v>534.345</v>
      </c>
      <c r="F340" s="26">
        <f>ROUND(534.345,3)</f>
        <v>534.345</v>
      </c>
      <c r="G340" s="24"/>
      <c r="H340" s="36"/>
    </row>
    <row r="341" spans="1:8" ht="12.75" customHeight="1">
      <c r="A341" s="22">
        <v>42131</v>
      </c>
      <c r="B341" s="22"/>
      <c r="C341" s="26">
        <f>ROUND(526.806,3)</f>
        <v>526.806</v>
      </c>
      <c r="D341" s="26">
        <f>F341</f>
        <v>543.095</v>
      </c>
      <c r="E341" s="26">
        <f>F341</f>
        <v>543.095</v>
      </c>
      <c r="F341" s="26">
        <f>ROUND(543.095,3)</f>
        <v>543.095</v>
      </c>
      <c r="G341" s="24"/>
      <c r="H341" s="36"/>
    </row>
    <row r="342" spans="1:8" ht="12.75" customHeight="1">
      <c r="A342" s="22">
        <v>42222</v>
      </c>
      <c r="B342" s="22"/>
      <c r="C342" s="26">
        <f>ROUND(526.806,3)</f>
        <v>526.806</v>
      </c>
      <c r="D342" s="26">
        <f>F342</f>
        <v>552.384</v>
      </c>
      <c r="E342" s="26">
        <f>F342</f>
        <v>552.384</v>
      </c>
      <c r="F342" s="26">
        <f>ROUND(552.384,3)</f>
        <v>552.384</v>
      </c>
      <c r="G342" s="24"/>
      <c r="H342" s="36"/>
    </row>
    <row r="343" spans="1:8" ht="12.75" customHeight="1">
      <c r="A343" s="22">
        <v>42313</v>
      </c>
      <c r="B343" s="22"/>
      <c r="C343" s="26">
        <f>ROUND(526.806,3)</f>
        <v>526.806</v>
      </c>
      <c r="D343" s="26">
        <f>F343</f>
        <v>562.51</v>
      </c>
      <c r="E343" s="26">
        <f>F343</f>
        <v>562.51</v>
      </c>
      <c r="F343" s="26">
        <f>ROUND(562.51,3)</f>
        <v>562.51</v>
      </c>
      <c r="G343" s="24"/>
      <c r="H343" s="36"/>
    </row>
    <row r="344" spans="1:8" ht="12.75" customHeight="1">
      <c r="A344" s="22" t="s">
        <v>88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42040</v>
      </c>
      <c r="B345" s="22"/>
      <c r="C345" s="26">
        <f>ROUND(480.016,3)</f>
        <v>480.016</v>
      </c>
      <c r="D345" s="26">
        <f>F345</f>
        <v>486.885</v>
      </c>
      <c r="E345" s="26">
        <f>F345</f>
        <v>486.885</v>
      </c>
      <c r="F345" s="26">
        <f>ROUND(486.885,3)</f>
        <v>486.885</v>
      </c>
      <c r="G345" s="24"/>
      <c r="H345" s="36"/>
    </row>
    <row r="346" spans="1:8" ht="12.75" customHeight="1">
      <c r="A346" s="22">
        <v>42131</v>
      </c>
      <c r="B346" s="22"/>
      <c r="C346" s="26">
        <f>ROUND(480.016,3)</f>
        <v>480.016</v>
      </c>
      <c r="D346" s="26">
        <f>F346</f>
        <v>494.858</v>
      </c>
      <c r="E346" s="26">
        <f>F346</f>
        <v>494.858</v>
      </c>
      <c r="F346" s="26">
        <f>ROUND(494.858,3)</f>
        <v>494.858</v>
      </c>
      <c r="G346" s="24"/>
      <c r="H346" s="36"/>
    </row>
    <row r="347" spans="1:8" ht="12.75" customHeight="1">
      <c r="A347" s="22">
        <v>42222</v>
      </c>
      <c r="B347" s="22"/>
      <c r="C347" s="26">
        <f>ROUND(480.016,3)</f>
        <v>480.016</v>
      </c>
      <c r="D347" s="26">
        <f>F347</f>
        <v>503.323</v>
      </c>
      <c r="E347" s="26">
        <f>F347</f>
        <v>503.323</v>
      </c>
      <c r="F347" s="26">
        <f>ROUND(503.323,3)</f>
        <v>503.323</v>
      </c>
      <c r="G347" s="24"/>
      <c r="H347" s="36"/>
    </row>
    <row r="348" spans="1:8" ht="12.75" customHeight="1">
      <c r="A348" s="22">
        <v>42313</v>
      </c>
      <c r="B348" s="22"/>
      <c r="C348" s="26">
        <f>ROUND(480.016,3)</f>
        <v>480.016</v>
      </c>
      <c r="D348" s="26">
        <f>F348</f>
        <v>512.549</v>
      </c>
      <c r="E348" s="26">
        <f>F348</f>
        <v>512.549</v>
      </c>
      <c r="F348" s="26">
        <f>ROUND(512.549,3)</f>
        <v>512.549</v>
      </c>
      <c r="G348" s="24"/>
      <c r="H348" s="36"/>
    </row>
    <row r="349" spans="1:8" ht="12.75" customHeight="1">
      <c r="A349" s="22" t="s">
        <v>89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42040</v>
      </c>
      <c r="B350" s="22"/>
      <c r="C350" s="26">
        <f>ROUND(222.475758417116,3)</f>
        <v>222.476</v>
      </c>
      <c r="D350" s="26">
        <f>F350</f>
        <v>225.685</v>
      </c>
      <c r="E350" s="26">
        <f>F350</f>
        <v>225.685</v>
      </c>
      <c r="F350" s="26">
        <f>ROUND(225.685,3)</f>
        <v>225.685</v>
      </c>
      <c r="G350" s="24"/>
      <c r="H350" s="36"/>
    </row>
    <row r="351" spans="1:8" ht="12.75" customHeight="1">
      <c r="A351" s="22">
        <v>42131</v>
      </c>
      <c r="B351" s="22"/>
      <c r="C351" s="26">
        <f>ROUND(222.475758417116,3)</f>
        <v>222.476</v>
      </c>
      <c r="D351" s="26">
        <f>F351</f>
        <v>229.408</v>
      </c>
      <c r="E351" s="26">
        <f>F351</f>
        <v>229.408</v>
      </c>
      <c r="F351" s="26">
        <f>ROUND(229.408,3)</f>
        <v>229.408</v>
      </c>
      <c r="G351" s="24"/>
      <c r="H351" s="36"/>
    </row>
    <row r="352" spans="1:8" ht="12.75" customHeight="1">
      <c r="A352" s="22">
        <v>42222</v>
      </c>
      <c r="B352" s="22"/>
      <c r="C352" s="26">
        <f>ROUND(222.475758417116,3)</f>
        <v>222.476</v>
      </c>
      <c r="D352" s="26">
        <f>F352</f>
        <v>233.359</v>
      </c>
      <c r="E352" s="26">
        <f>F352</f>
        <v>233.359</v>
      </c>
      <c r="F352" s="26">
        <f>ROUND(233.359,3)</f>
        <v>233.359</v>
      </c>
      <c r="G352" s="24"/>
      <c r="H352" s="36"/>
    </row>
    <row r="353" spans="1:8" ht="12.75" customHeight="1">
      <c r="A353" s="22">
        <v>42313</v>
      </c>
      <c r="B353" s="22"/>
      <c r="C353" s="26">
        <f>ROUND(222.475758417116,3)</f>
        <v>222.476</v>
      </c>
      <c r="D353" s="26">
        <f>F353</f>
        <v>237.663</v>
      </c>
      <c r="E353" s="26">
        <f>F353</f>
        <v>237.663</v>
      </c>
      <c r="F353" s="26">
        <f>ROUND(237.663,3)</f>
        <v>237.663</v>
      </c>
      <c r="G353" s="24"/>
      <c r="H353" s="36"/>
    </row>
    <row r="354" spans="1:8" ht="12.75" customHeight="1">
      <c r="A354" s="22" t="s">
        <v>90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42040</v>
      </c>
      <c r="B355" s="22"/>
      <c r="C355" s="26">
        <f>ROUND(602.787817009987,3)</f>
        <v>602.788</v>
      </c>
      <c r="D355" s="26">
        <f>F355</f>
        <v>611.503</v>
      </c>
      <c r="E355" s="26">
        <f>F355</f>
        <v>611.503</v>
      </c>
      <c r="F355" s="26">
        <f>ROUND(611.503,3)</f>
        <v>611.503</v>
      </c>
      <c r="G355" s="24"/>
      <c r="H355" s="36"/>
    </row>
    <row r="356" spans="1:8" ht="12.75" customHeight="1">
      <c r="A356" s="22">
        <v>42131</v>
      </c>
      <c r="B356" s="22"/>
      <c r="C356" s="26">
        <f>ROUND(602.787817009987,3)</f>
        <v>602.788</v>
      </c>
      <c r="D356" s="26">
        <f>F356</f>
        <v>621.56</v>
      </c>
      <c r="E356" s="26">
        <f>F356</f>
        <v>621.56</v>
      </c>
      <c r="F356" s="26">
        <f>ROUND(621.56,3)</f>
        <v>621.56</v>
      </c>
      <c r="G356" s="24"/>
      <c r="H356" s="36"/>
    </row>
    <row r="357" spans="1:8" ht="12.75" customHeight="1">
      <c r="A357" s="22">
        <v>42222</v>
      </c>
      <c r="B357" s="22"/>
      <c r="C357" s="26">
        <f>ROUND(602.787817009987,3)</f>
        <v>602.788</v>
      </c>
      <c r="D357" s="26">
        <f>F357</f>
        <v>631.906</v>
      </c>
      <c r="E357" s="26">
        <f>F357</f>
        <v>631.906</v>
      </c>
      <c r="F357" s="26">
        <f>ROUND(631.906,3)</f>
        <v>631.906</v>
      </c>
      <c r="G357" s="24"/>
      <c r="H357" s="36"/>
    </row>
    <row r="358" spans="1:8" ht="12.75" customHeight="1">
      <c r="A358" s="22">
        <v>42313</v>
      </c>
      <c r="B358" s="22"/>
      <c r="C358" s="26">
        <f>ROUND(602.787817009987,3)</f>
        <v>602.788</v>
      </c>
      <c r="D358" s="26">
        <f>F358</f>
        <v>643.626</v>
      </c>
      <c r="E358" s="26">
        <f>F358</f>
        <v>643.626</v>
      </c>
      <c r="F358" s="26">
        <f>ROUND(643.626,3)</f>
        <v>643.626</v>
      </c>
      <c r="G358" s="24"/>
      <c r="H358" s="36"/>
    </row>
    <row r="359" spans="1:8" ht="12.75" customHeight="1">
      <c r="A359" s="22" t="s">
        <v>91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41985</v>
      </c>
      <c r="B360" s="22"/>
      <c r="C360" s="24">
        <f>ROUND(20917.59,2)</f>
        <v>20917.59</v>
      </c>
      <c r="D360" s="24">
        <f>F360</f>
        <v>21003.44</v>
      </c>
      <c r="E360" s="24">
        <f>F360</f>
        <v>21003.44</v>
      </c>
      <c r="F360" s="24">
        <f>ROUND(21003.44,2)</f>
        <v>21003.44</v>
      </c>
      <c r="G360" s="24"/>
      <c r="H360" s="36"/>
    </row>
    <row r="361" spans="1:8" ht="12.75" customHeight="1">
      <c r="A361" s="22">
        <v>42079</v>
      </c>
      <c r="B361" s="22"/>
      <c r="C361" s="24">
        <f>ROUND(20917.59,2)</f>
        <v>20917.59</v>
      </c>
      <c r="D361" s="24">
        <f>F361</f>
        <v>21311</v>
      </c>
      <c r="E361" s="24">
        <f>F361</f>
        <v>21311</v>
      </c>
      <c r="F361" s="24">
        <f>ROUND(21311,2)</f>
        <v>21311</v>
      </c>
      <c r="G361" s="24"/>
      <c r="H361" s="36"/>
    </row>
    <row r="362" spans="1:8" ht="12.75" customHeight="1">
      <c r="A362" s="22">
        <v>42167</v>
      </c>
      <c r="B362" s="22"/>
      <c r="C362" s="24">
        <f>ROUND(20917.59,2)</f>
        <v>20917.59</v>
      </c>
      <c r="D362" s="24">
        <f>F362</f>
        <v>21609.44</v>
      </c>
      <c r="E362" s="24">
        <f>F362</f>
        <v>21609.44</v>
      </c>
      <c r="F362" s="24">
        <f>ROUND(21609.44,2)</f>
        <v>21609.44</v>
      </c>
      <c r="G362" s="24"/>
      <c r="H362" s="36"/>
    </row>
    <row r="363" spans="1:8" ht="12.75" customHeight="1">
      <c r="A363" s="22" t="s">
        <v>92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41962</v>
      </c>
      <c r="B364" s="22"/>
      <c r="C364" s="26">
        <f>ROUND(6.092,3)</f>
        <v>6.092</v>
      </c>
      <c r="D364" s="26">
        <f>ROUND(6.16,3)</f>
        <v>6.16</v>
      </c>
      <c r="E364" s="26">
        <f>ROUND(6.06,3)</f>
        <v>6.06</v>
      </c>
      <c r="F364" s="26">
        <f>ROUND(6.11,3)</f>
        <v>6.11</v>
      </c>
      <c r="G364" s="24"/>
      <c r="H364" s="36"/>
    </row>
    <row r="365" spans="1:8" ht="12.75" customHeight="1">
      <c r="A365" s="22">
        <v>41990</v>
      </c>
      <c r="B365" s="22"/>
      <c r="C365" s="26">
        <f>ROUND(6.092,3)</f>
        <v>6.092</v>
      </c>
      <c r="D365" s="26">
        <f>ROUND(6.24,3)</f>
        <v>6.24</v>
      </c>
      <c r="E365" s="26">
        <f>ROUND(6.14,3)</f>
        <v>6.14</v>
      </c>
      <c r="F365" s="26">
        <f>ROUND(6.19,3)</f>
        <v>6.19</v>
      </c>
      <c r="G365" s="24"/>
      <c r="H365" s="36"/>
    </row>
    <row r="366" spans="1:8" ht="12.75" customHeight="1">
      <c r="A366" s="22">
        <v>42025</v>
      </c>
      <c r="B366" s="22"/>
      <c r="C366" s="26">
        <f>ROUND(6.092,3)</f>
        <v>6.092</v>
      </c>
      <c r="D366" s="26">
        <f>ROUND(6.29,3)</f>
        <v>6.29</v>
      </c>
      <c r="E366" s="26">
        <f>ROUND(6.19,3)</f>
        <v>6.19</v>
      </c>
      <c r="F366" s="26">
        <f>ROUND(6.24,3)</f>
        <v>6.24</v>
      </c>
      <c r="G366" s="24"/>
      <c r="H366" s="36"/>
    </row>
    <row r="367" spans="1:8" ht="12.75" customHeight="1">
      <c r="A367" s="22">
        <v>42053</v>
      </c>
      <c r="B367" s="22"/>
      <c r="C367" s="26">
        <f>ROUND(6.092,3)</f>
        <v>6.092</v>
      </c>
      <c r="D367" s="26">
        <f>ROUND(6.36,3)</f>
        <v>6.36</v>
      </c>
      <c r="E367" s="26">
        <f>ROUND(6.26,3)</f>
        <v>6.26</v>
      </c>
      <c r="F367" s="26">
        <f>ROUND(6.31,3)</f>
        <v>6.31</v>
      </c>
      <c r="G367" s="24"/>
      <c r="H367" s="36"/>
    </row>
    <row r="368" spans="1:8" ht="12.75" customHeight="1">
      <c r="A368" s="22">
        <v>42081</v>
      </c>
      <c r="B368" s="22"/>
      <c r="C368" s="26">
        <f>ROUND(6.092,3)</f>
        <v>6.092</v>
      </c>
      <c r="D368" s="26">
        <f>ROUND(6.4,3)</f>
        <v>6.4</v>
      </c>
      <c r="E368" s="26">
        <f>ROUND(6.3,3)</f>
        <v>6.3</v>
      </c>
      <c r="F368" s="26">
        <f>ROUND(6.35,3)</f>
        <v>6.35</v>
      </c>
      <c r="G368" s="24"/>
      <c r="H368" s="36"/>
    </row>
    <row r="369" spans="1:8" ht="12.75" customHeight="1">
      <c r="A369" s="22">
        <v>42109</v>
      </c>
      <c r="B369" s="22"/>
      <c r="C369" s="26">
        <f>ROUND(6.092,3)</f>
        <v>6.092</v>
      </c>
      <c r="D369" s="26">
        <f>ROUND(6.47,3)</f>
        <v>6.47</v>
      </c>
      <c r="E369" s="26">
        <f>ROUND(6.37,3)</f>
        <v>6.37</v>
      </c>
      <c r="F369" s="26">
        <f>ROUND(6.42,3)</f>
        <v>6.42</v>
      </c>
      <c r="G369" s="24"/>
      <c r="H369" s="36"/>
    </row>
    <row r="370" spans="1:8" ht="12.75" customHeight="1">
      <c r="A370" s="22">
        <v>42172</v>
      </c>
      <c r="B370" s="22"/>
      <c r="C370" s="26">
        <f>ROUND(6.092,3)</f>
        <v>6.092</v>
      </c>
      <c r="D370" s="26">
        <f>ROUND(6.6,3)</f>
        <v>6.6</v>
      </c>
      <c r="E370" s="26">
        <f>ROUND(6.5,3)</f>
        <v>6.5</v>
      </c>
      <c r="F370" s="26">
        <f>ROUND(6.55,3)</f>
        <v>6.55</v>
      </c>
      <c r="G370" s="24"/>
      <c r="H370" s="36"/>
    </row>
    <row r="371" spans="1:8" ht="12.75" customHeight="1">
      <c r="A371" s="22">
        <v>42263</v>
      </c>
      <c r="B371" s="22"/>
      <c r="C371" s="26">
        <f>ROUND(6.092,3)</f>
        <v>6.092</v>
      </c>
      <c r="D371" s="26">
        <f>ROUND(6.75,3)</f>
        <v>6.75</v>
      </c>
      <c r="E371" s="26">
        <f>ROUND(6.65,3)</f>
        <v>6.65</v>
      </c>
      <c r="F371" s="26">
        <f>ROUND(6.7,3)</f>
        <v>6.7</v>
      </c>
      <c r="G371" s="24"/>
      <c r="H371" s="36"/>
    </row>
    <row r="372" spans="1:8" ht="12.75" customHeight="1">
      <c r="A372" s="22">
        <v>42353</v>
      </c>
      <c r="B372" s="22"/>
      <c r="C372" s="26">
        <f>ROUND(6.092,3)</f>
        <v>6.092</v>
      </c>
      <c r="D372" s="26">
        <f>ROUND(6.87,3)</f>
        <v>6.87</v>
      </c>
      <c r="E372" s="26">
        <f>ROUND(6.77,3)</f>
        <v>6.77</v>
      </c>
      <c r="F372" s="26">
        <f>ROUND(6.82,3)</f>
        <v>6.82</v>
      </c>
      <c r="G372" s="24"/>
      <c r="H372" s="36"/>
    </row>
    <row r="373" spans="1:8" ht="12.75" customHeight="1">
      <c r="A373" s="22">
        <v>42445</v>
      </c>
      <c r="B373" s="22"/>
      <c r="C373" s="26">
        <f>ROUND(6.092,3)</f>
        <v>6.092</v>
      </c>
      <c r="D373" s="26">
        <f>ROUND(7,3)</f>
        <v>7</v>
      </c>
      <c r="E373" s="26">
        <f>ROUND(6.9,3)</f>
        <v>6.9</v>
      </c>
      <c r="F373" s="26">
        <f>ROUND(6.95,3)</f>
        <v>6.95</v>
      </c>
      <c r="G373" s="24"/>
      <c r="H373" s="36"/>
    </row>
    <row r="374" spans="1:8" ht="12.75" customHeight="1">
      <c r="A374" s="22">
        <v>42536</v>
      </c>
      <c r="B374" s="22"/>
      <c r="C374" s="26">
        <f>ROUND(6.092,3)</f>
        <v>6.092</v>
      </c>
      <c r="D374" s="26">
        <f>ROUND(7.12,3)</f>
        <v>7.12</v>
      </c>
      <c r="E374" s="26">
        <f>ROUND(7.02,3)</f>
        <v>7.02</v>
      </c>
      <c r="F374" s="26">
        <f>ROUND(7.07,3)</f>
        <v>7.07</v>
      </c>
      <c r="G374" s="24"/>
      <c r="H374" s="36"/>
    </row>
    <row r="375" spans="1:8" ht="12.75" customHeight="1">
      <c r="A375" s="22">
        <v>42634</v>
      </c>
      <c r="B375" s="22"/>
      <c r="C375" s="26">
        <f>ROUND(6.092,3)</f>
        <v>6.092</v>
      </c>
      <c r="D375" s="26">
        <f>ROUND(7.25,3)</f>
        <v>7.25</v>
      </c>
      <c r="E375" s="26">
        <f>ROUND(7.15,3)</f>
        <v>7.15</v>
      </c>
      <c r="F375" s="26">
        <f>ROUND(7.2,3)</f>
        <v>7.2</v>
      </c>
      <c r="G375" s="24"/>
      <c r="H375" s="36"/>
    </row>
    <row r="376" spans="1:8" ht="12.75" customHeight="1">
      <c r="A376" s="22" t="s">
        <v>93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42040</v>
      </c>
      <c r="B377" s="22"/>
      <c r="C377" s="26">
        <f>ROUND(478.08,3)</f>
        <v>478.08</v>
      </c>
      <c r="D377" s="26">
        <f>F377</f>
        <v>484.921</v>
      </c>
      <c r="E377" s="26">
        <f>F377</f>
        <v>484.921</v>
      </c>
      <c r="F377" s="26">
        <f>ROUND(484.921,3)</f>
        <v>484.921</v>
      </c>
      <c r="G377" s="24"/>
      <c r="H377" s="36"/>
    </row>
    <row r="378" spans="1:8" ht="12.75" customHeight="1">
      <c r="A378" s="22">
        <v>42131</v>
      </c>
      <c r="B378" s="22"/>
      <c r="C378" s="26">
        <f>ROUND(478.08,3)</f>
        <v>478.08</v>
      </c>
      <c r="D378" s="26">
        <f>F378</f>
        <v>492.862</v>
      </c>
      <c r="E378" s="26">
        <f>F378</f>
        <v>492.862</v>
      </c>
      <c r="F378" s="26">
        <f>ROUND(492.862,3)</f>
        <v>492.862</v>
      </c>
      <c r="G378" s="24"/>
      <c r="H378" s="36"/>
    </row>
    <row r="379" spans="1:8" ht="12.75" customHeight="1">
      <c r="A379" s="22">
        <v>42222</v>
      </c>
      <c r="B379" s="22"/>
      <c r="C379" s="26">
        <f>ROUND(478.08,3)</f>
        <v>478.08</v>
      </c>
      <c r="D379" s="26">
        <f>F379</f>
        <v>501.293</v>
      </c>
      <c r="E379" s="26">
        <f>F379</f>
        <v>501.293</v>
      </c>
      <c r="F379" s="26">
        <f>ROUND(501.293,3)</f>
        <v>501.293</v>
      </c>
      <c r="G379" s="24"/>
      <c r="H379" s="36"/>
    </row>
    <row r="380" spans="1:8" ht="12.75" customHeight="1" thickBot="1">
      <c r="A380" s="32">
        <v>42313</v>
      </c>
      <c r="B380" s="32"/>
      <c r="C380" s="33">
        <f>ROUND(478.08,3)</f>
        <v>478.08</v>
      </c>
      <c r="D380" s="33">
        <f>F380</f>
        <v>510.482</v>
      </c>
      <c r="E380" s="33">
        <f>F380</f>
        <v>510.482</v>
      </c>
      <c r="F380" s="33">
        <f>ROUND(510.482,3)</f>
        <v>510.482</v>
      </c>
      <c r="G380" s="34"/>
      <c r="H380" s="37"/>
    </row>
  </sheetData>
  <sheetProtection/>
  <mergeCells count="379">
    <mergeCell ref="A380:B380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2014-11-12T15:50:37Z</dcterms:modified>
  <cp:category/>
  <cp:version/>
  <cp:contentType/>
  <cp:contentStatus/>
</cp:coreProperties>
</file>